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24226"/>
  <mc:AlternateContent xmlns:mc="http://schemas.openxmlformats.org/markup-compatibility/2006">
    <mc:Choice Requires="x15">
      <x15ac:absPath xmlns:x15ac="http://schemas.microsoft.com/office/spreadsheetml/2010/11/ac" url="C:\Users\Zarko Tripunovic\Desktop\ZAVRŠNI RAČUNI I POPISI\ZAVRŠNI 2022\BL BERZA 2022\"/>
    </mc:Choice>
  </mc:AlternateContent>
  <xr:revisionPtr revIDLastSave="0" documentId="13_ncr:1_{446E2AF9-29B1-49BD-AFFD-DC8471CA6177}" xr6:coauthVersionLast="47" xr6:coauthVersionMax="47" xr10:uidLastSave="{00000000-0000-0000-0000-000000000000}"/>
  <workbookProtection workbookAlgorithmName="SHA-512" workbookHashValue="8X1AnT+bE3Cn6lVJYGVs/DGeKp8kL1PA1uyEsRmyOqEXDV6ntQVEU1G6v4oAAi4OXuvhGjCSpcWj84RY+8RfuA==" workbookSaltValue="dh9nlzwWn96tWKHP3RSFVQ==" workbookSpinCount="100000" lockStructure="1"/>
  <bookViews>
    <workbookView xWindow="-108" yWindow="-108" windowWidth="23256" windowHeight="12576"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6" i="2" s="1"/>
  <c r="L101" i="2"/>
  <c r="L94" i="2"/>
  <c r="L93" i="2" s="1"/>
  <c r="L81" i="2"/>
  <c r="L71" i="2"/>
  <c r="L91" i="2" s="1"/>
  <c r="L64" i="2"/>
  <c r="L59" i="2"/>
  <c r="L48" i="2"/>
  <c r="L47" i="2" s="1"/>
  <c r="L43" i="2"/>
  <c r="L30" i="2"/>
  <c r="L26" i="2"/>
  <c r="L22" i="2"/>
  <c r="K133" i="2"/>
  <c r="K130" i="2"/>
  <c r="K120" i="2"/>
  <c r="K119" i="2"/>
  <c r="K114" i="2"/>
  <c r="K107" i="2"/>
  <c r="K106" i="2" s="1"/>
  <c r="K101" i="2"/>
  <c r="K94" i="2"/>
  <c r="K93" i="2" s="1"/>
  <c r="K81" i="2"/>
  <c r="K71" i="2"/>
  <c r="K64" i="2"/>
  <c r="K59" i="2"/>
  <c r="K48" i="2"/>
  <c r="K47" i="2" s="1"/>
  <c r="K43" i="2"/>
  <c r="K30" i="2"/>
  <c r="K26" i="2"/>
  <c r="K22" i="2"/>
  <c r="N73" i="1"/>
  <c r="N72" i="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N92" i="1"/>
  <c r="M92" i="1"/>
  <c r="AA8" i="33"/>
  <c r="AA14" i="33"/>
  <c r="B67" i="35"/>
  <c r="F67" i="35"/>
  <c r="I67" i="35"/>
  <c r="L92" i="2" l="1"/>
  <c r="L21" i="2"/>
  <c r="L125" i="2"/>
  <c r="K92" i="2"/>
  <c r="K91" i="2"/>
  <c r="K21" i="2"/>
  <c r="K137" i="2"/>
  <c r="K125" i="2"/>
  <c r="L39" i="2"/>
  <c r="L126" i="2" s="1"/>
  <c r="K39" i="2"/>
  <c r="K126" i="2" s="1"/>
  <c r="N42" i="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L136" i="2" l="1"/>
  <c r="L137" i="2"/>
  <c r="L69" i="2"/>
  <c r="L58" i="2"/>
  <c r="L128" i="2"/>
  <c r="L127" i="2"/>
  <c r="L70" i="2"/>
  <c r="L57" i="2"/>
  <c r="K136" i="2"/>
  <c r="K128" i="2"/>
  <c r="K127" i="2"/>
  <c r="K69" i="2"/>
  <c r="K58" i="2"/>
  <c r="K57" i="2"/>
  <c r="K70"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L36" i="36" l="1"/>
  <c r="M101" i="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8" i="36" l="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M22" i="1" l="1"/>
  <c r="L56" i="1"/>
  <c r="M56" i="1" s="1"/>
  <c r="N22" i="1"/>
  <c r="L22" i="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6" i="38"/>
  <c r="D84" i="38"/>
  <c r="D75" i="38"/>
  <c r="D89" i="38"/>
  <c r="D76" i="38"/>
  <c r="D95" i="38"/>
  <c r="D74" i="38"/>
  <c r="D98" i="38"/>
  <c r="D88" i="38"/>
  <c r="D77" i="38"/>
  <c r="D97" i="38"/>
  <c r="D71" i="38"/>
  <c r="D87" i="38"/>
  <c r="D99" i="38"/>
  <c r="D80" i="38"/>
  <c r="D70" i="38"/>
  <c r="D72" i="38"/>
  <c r="D83" i="38"/>
  <c r="D73" i="38"/>
  <c r="D78" i="38"/>
  <c r="D91" i="38"/>
  <c r="D69" i="38"/>
  <c r="D92" i="38"/>
  <c r="D82" i="38"/>
  <c r="D94" i="38"/>
  <c r="D93" i="38"/>
  <c r="D90" i="38"/>
  <c r="D86" i="38"/>
  <c r="D100" i="38"/>
  <c r="D81" i="38"/>
  <c r="D85" i="38"/>
  <c r="D79" i="38"/>
  <c r="F200"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1" i="1" s="1"/>
  <c r="M28" i="1"/>
  <c r="L86" i="1"/>
  <c r="Z29" i="32"/>
  <c r="AB29" i="32" s="1"/>
  <c r="D11" i="10" s="1"/>
  <c r="F58" i="31"/>
  <c r="E58" i="31"/>
  <c r="D58" i="31"/>
  <c r="C58" i="31"/>
  <c r="F61" i="31"/>
  <c r="E61" i="31"/>
  <c r="D61" i="31"/>
  <c r="C61" i="31"/>
  <c r="F60" i="31"/>
  <c r="E60" i="31"/>
  <c r="D60" i="31"/>
  <c r="C60" i="31"/>
  <c r="F59" i="31"/>
  <c r="E59" i="31"/>
  <c r="D59" i="31"/>
  <c r="C59"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37" i="38"/>
  <c r="F223" i="38"/>
  <c r="F265" i="38"/>
  <c r="D24" i="38"/>
  <c r="F211" i="38"/>
  <c r="F253" i="38"/>
  <c r="F294" i="38"/>
  <c r="F231" i="38"/>
  <c r="E300" i="38"/>
  <c r="F300" i="38"/>
  <c r="E335" i="38"/>
  <c r="E367" i="38"/>
  <c r="E399" i="38"/>
  <c r="F203" i="38"/>
  <c r="F282" i="38"/>
  <c r="E324" i="38"/>
  <c r="E356" i="38"/>
  <c r="E388" i="38"/>
  <c r="F225" i="38"/>
  <c r="E333" i="38"/>
  <c r="E397" i="38"/>
  <c r="F208" i="38"/>
  <c r="E326" i="38"/>
  <c r="E390" i="38"/>
  <c r="D35" i="38"/>
  <c r="E361" i="38"/>
  <c r="F219" i="38"/>
  <c r="E385" i="38"/>
  <c r="F284" i="38"/>
  <c r="F250" i="38"/>
  <c r="F258" i="38"/>
  <c r="F292" i="38"/>
  <c r="E347" i="38"/>
  <c r="E330" i="38"/>
  <c r="D41" i="38"/>
  <c r="F228" i="38"/>
  <c r="F271" i="38"/>
  <c r="D28" i="38"/>
  <c r="F216" i="38"/>
  <c r="F259" i="38"/>
  <c r="F298" i="38"/>
  <c r="F241" i="38"/>
  <c r="E305" i="38"/>
  <c r="E339" i="38"/>
  <c r="E371" i="38"/>
  <c r="F213" i="38"/>
  <c r="F290" i="38"/>
  <c r="E328" i="38"/>
  <c r="E360" i="38"/>
  <c r="E392" i="38"/>
  <c r="F247" i="38"/>
  <c r="E341" i="38"/>
  <c r="F229" i="38"/>
  <c r="E334" i="38"/>
  <c r="E398" i="38"/>
  <c r="F215" i="38"/>
  <c r="E377" i="38"/>
  <c r="F293" i="38"/>
  <c r="D22" i="38"/>
  <c r="D38" i="38"/>
  <c r="F270" i="38"/>
  <c r="F234" i="38"/>
  <c r="F210" i="38"/>
  <c r="F278" i="38"/>
  <c r="D49" i="38"/>
  <c r="D31" i="38"/>
  <c r="E315" i="38"/>
  <c r="E301" i="38"/>
  <c r="E400" i="38"/>
  <c r="F272" i="38"/>
  <c r="E370" i="38"/>
  <c r="F246" i="38"/>
  <c r="D45" i="38"/>
  <c r="F233" i="38"/>
  <c r="F276" i="38"/>
  <c r="D32" i="38"/>
  <c r="F221" i="38"/>
  <c r="F264" i="38"/>
  <c r="E302" i="38"/>
  <c r="D23" i="38"/>
  <c r="F252" i="38"/>
  <c r="E311" i="38"/>
  <c r="E343" i="38"/>
  <c r="E375" i="38"/>
  <c r="F224" i="38"/>
  <c r="F296" i="38"/>
  <c r="E332" i="38"/>
  <c r="E364" i="38"/>
  <c r="E396" i="38"/>
  <c r="F268" i="38"/>
  <c r="E349" i="38"/>
  <c r="F251" i="38"/>
  <c r="E342" i="38"/>
  <c r="F236" i="38"/>
  <c r="E393" i="38"/>
  <c r="E314" i="38"/>
  <c r="F240" i="38"/>
  <c r="E338" i="38"/>
  <c r="E304" i="38"/>
  <c r="F254" i="38"/>
  <c r="F218" i="38"/>
  <c r="F262" i="38"/>
  <c r="F274" i="38"/>
  <c r="F269" i="38"/>
  <c r="F235" i="38"/>
  <c r="E357" i="38"/>
  <c r="F242" i="38"/>
  <c r="D21" i="38"/>
  <c r="F201" i="38"/>
  <c r="F244" i="38"/>
  <c r="D40" i="38"/>
  <c r="F232" i="38"/>
  <c r="F275" i="38"/>
  <c r="E310" i="38"/>
  <c r="D39" i="38"/>
  <c r="F273" i="38"/>
  <c r="E319" i="38"/>
  <c r="E351" i="38"/>
  <c r="E383" i="38"/>
  <c r="F245" i="38"/>
  <c r="E307" i="38"/>
  <c r="E340" i="38"/>
  <c r="E372" i="38"/>
  <c r="F297" i="38"/>
  <c r="E365" i="38"/>
  <c r="F286" i="38"/>
  <c r="E358" i="38"/>
  <c r="F291" i="38"/>
  <c r="E346" i="38"/>
  <c r="E321" i="38"/>
  <c r="E386" i="38"/>
  <c r="F222" i="38"/>
  <c r="F230" i="38"/>
  <c r="D36" i="38"/>
  <c r="E379" i="38"/>
  <c r="F285" i="38"/>
  <c r="F257" i="38"/>
  <c r="D25" i="38"/>
  <c r="F207" i="38"/>
  <c r="F249" i="38"/>
  <c r="D44" i="38"/>
  <c r="F237" i="38"/>
  <c r="F279" i="38"/>
  <c r="D47" i="38"/>
  <c r="F281" i="38"/>
  <c r="E323" i="38"/>
  <c r="E355" i="38"/>
  <c r="E387" i="38"/>
  <c r="D26" i="38"/>
  <c r="F256" i="38"/>
  <c r="E312" i="38"/>
  <c r="E344" i="38"/>
  <c r="E376" i="38"/>
  <c r="D27" i="38"/>
  <c r="E308" i="38"/>
  <c r="E373" i="38"/>
  <c r="F299" i="38"/>
  <c r="E366" i="38"/>
  <c r="E313" i="38"/>
  <c r="E362" i="38"/>
  <c r="E337" i="38"/>
  <c r="F261" i="38"/>
  <c r="F206" i="38"/>
  <c r="F288" i="38"/>
  <c r="F214" i="38"/>
  <c r="F239" i="38"/>
  <c r="F227" i="38"/>
  <c r="F263" i="38"/>
  <c r="E368" i="38"/>
  <c r="E350" i="38"/>
  <c r="E303" i="38"/>
  <c r="F238" i="38"/>
  <c r="F202" i="38"/>
  <c r="D29" i="38"/>
  <c r="F212" i="38"/>
  <c r="F255" i="38"/>
  <c r="D48" i="38"/>
  <c r="F243" i="38"/>
  <c r="F283" i="38"/>
  <c r="F209" i="38"/>
  <c r="F287" i="38"/>
  <c r="E327" i="38"/>
  <c r="E359" i="38"/>
  <c r="E391" i="38"/>
  <c r="D34" i="38"/>
  <c r="F267" i="38"/>
  <c r="E316" i="38"/>
  <c r="E348" i="38"/>
  <c r="E380" i="38"/>
  <c r="D43" i="38"/>
  <c r="E317" i="38"/>
  <c r="E381" i="38"/>
  <c r="D30" i="38"/>
  <c r="E309" i="38"/>
  <c r="E374" i="38"/>
  <c r="E329" i="38"/>
  <c r="E378" i="38"/>
  <c r="E353" i="38"/>
  <c r="E354" i="38"/>
  <c r="F226" i="38"/>
  <c r="F280" i="38"/>
  <c r="E306" i="38"/>
  <c r="E336" i="38"/>
  <c r="D33" i="38"/>
  <c r="F217" i="38"/>
  <c r="F260" i="38"/>
  <c r="F205" i="38"/>
  <c r="F248" i="38"/>
  <c r="F289" i="38"/>
  <c r="F220" i="38"/>
  <c r="F295" i="38"/>
  <c r="E331" i="38"/>
  <c r="E363" i="38"/>
  <c r="E395" i="38"/>
  <c r="D42" i="38"/>
  <c r="F277" i="38"/>
  <c r="E320" i="38"/>
  <c r="E352" i="38"/>
  <c r="E384" i="38"/>
  <c r="F204" i="38"/>
  <c r="E325" i="38"/>
  <c r="E389" i="38"/>
  <c r="D46" i="38"/>
  <c r="E318" i="38"/>
  <c r="E382" i="38"/>
  <c r="E345" i="38"/>
  <c r="E394" i="38"/>
  <c r="E369" i="38"/>
  <c r="E322" i="38"/>
  <c r="F266" i="38"/>
  <c r="D63" i="38"/>
  <c r="D66" i="38"/>
  <c r="D51" i="38"/>
  <c r="D54" i="38"/>
  <c r="D55" i="38"/>
  <c r="D64" i="38"/>
  <c r="D52" i="38"/>
  <c r="D61" i="38"/>
  <c r="D68" i="38"/>
  <c r="D67" i="38"/>
  <c r="D65" i="38"/>
  <c r="D60" i="38"/>
  <c r="D58" i="38"/>
  <c r="D50" i="38"/>
  <c r="D62" i="38"/>
  <c r="D57" i="38"/>
  <c r="D56" i="38"/>
  <c r="D59" i="38"/>
  <c r="D53" i="38"/>
  <c r="D133" i="38"/>
  <c r="D138" i="38"/>
  <c r="D117" i="38"/>
  <c r="D102" i="38"/>
  <c r="D112" i="38"/>
  <c r="D121" i="38"/>
  <c r="D122" i="38"/>
  <c r="D137" i="38"/>
  <c r="D105" i="38"/>
  <c r="D119" i="38"/>
  <c r="D129" i="38"/>
  <c r="D123" i="38"/>
  <c r="D128" i="38"/>
  <c r="D116" i="38"/>
  <c r="D110" i="38"/>
  <c r="D134" i="38"/>
  <c r="D132" i="38"/>
  <c r="D106" i="38"/>
  <c r="D135" i="38"/>
  <c r="D109" i="38"/>
  <c r="D131" i="38"/>
  <c r="D114" i="38"/>
  <c r="D111" i="38"/>
  <c r="D118" i="38"/>
  <c r="D113" i="38"/>
  <c r="D103" i="38"/>
  <c r="D108" i="38"/>
  <c r="D126" i="38"/>
  <c r="D124" i="38"/>
  <c r="D104" i="38"/>
  <c r="D115" i="38"/>
  <c r="D125" i="38"/>
  <c r="D136" i="38"/>
  <c r="D130" i="38"/>
  <c r="D120" i="38"/>
  <c r="D101" i="38"/>
  <c r="D107" i="38"/>
  <c r="D127" i="38"/>
  <c r="C11" i="1" l="1"/>
  <c r="C11" i="8"/>
  <c r="C11" i="14"/>
  <c r="C11" i="36"/>
  <c r="C11" i="2"/>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55" i="35"/>
  <c r="N179" i="35"/>
  <c r="J152" i="35"/>
  <c r="J86" i="35"/>
  <c r="M202" i="35"/>
  <c r="J267" i="35"/>
  <c r="M265" i="35"/>
  <c r="N10" i="35"/>
  <c r="N359" i="35"/>
  <c r="N137" i="35"/>
  <c r="M183" i="35"/>
  <c r="D285" i="38"/>
  <c r="K42" i="35"/>
  <c r="M316" i="35"/>
  <c r="M417" i="38"/>
  <c r="M82" i="35"/>
  <c r="D303" i="38"/>
  <c r="M206" i="35"/>
  <c r="M252" i="35"/>
  <c r="J340" i="35"/>
  <c r="N162" i="35"/>
  <c r="J257" i="35"/>
  <c r="D288" i="38"/>
  <c r="M61" i="35"/>
  <c r="N335" i="35"/>
  <c r="D313" i="38"/>
  <c r="D162" i="38"/>
  <c r="N136" i="35"/>
  <c r="N231" i="35"/>
  <c r="J72" i="35"/>
  <c r="N284" i="35"/>
  <c r="M143" i="35"/>
  <c r="N172" i="35"/>
  <c r="M10" i="35"/>
  <c r="M246" i="35"/>
  <c r="J181" i="35"/>
  <c r="F416" i="38"/>
  <c r="N338" i="35"/>
  <c r="F371" i="38"/>
  <c r="N77" i="35"/>
  <c r="N125" i="35"/>
  <c r="N153" i="35"/>
  <c r="J216" i="35"/>
  <c r="J258" i="35"/>
  <c r="M113" i="35"/>
  <c r="D269" i="38"/>
  <c r="J121" i="35"/>
  <c r="D280" i="38"/>
  <c r="M114" i="35"/>
  <c r="J196" i="35"/>
  <c r="D148" i="38"/>
  <c r="J234" i="35"/>
  <c r="N385" i="35"/>
  <c r="D262" i="38"/>
  <c r="N24" i="35"/>
  <c r="D239" i="38"/>
  <c r="J185" i="35"/>
  <c r="M79" i="35"/>
  <c r="E73" i="38"/>
  <c r="D177" i="38"/>
  <c r="N243" i="35"/>
  <c r="D333" i="38"/>
  <c r="J174" i="35"/>
  <c r="N152" i="35"/>
  <c r="J93" i="35"/>
  <c r="L10" i="35"/>
  <c r="M333" i="35"/>
  <c r="M238" i="35"/>
  <c r="M100" i="35"/>
  <c r="J188" i="35"/>
  <c r="D165" i="38"/>
  <c r="N14" i="35"/>
  <c r="F137" i="38"/>
  <c r="D205" i="38"/>
  <c r="N365" i="35"/>
  <c r="N232" i="35"/>
  <c r="N387" i="35"/>
  <c r="M19" i="35"/>
  <c r="D206" i="38"/>
  <c r="M137" i="35"/>
  <c r="J247" i="35"/>
  <c r="E226" i="38"/>
  <c r="J141" i="35"/>
  <c r="D170" i="38"/>
  <c r="F355" i="38"/>
  <c r="D220" i="38"/>
  <c r="J270" i="35"/>
  <c r="M353" i="35"/>
  <c r="D319" i="38"/>
  <c r="D213" i="38"/>
  <c r="D259" i="38"/>
  <c r="J218" i="35"/>
  <c r="J79" i="35"/>
  <c r="J95" i="35"/>
  <c r="M63" i="35"/>
  <c r="E129" i="38"/>
  <c r="K61" i="35"/>
  <c r="M55" i="35"/>
  <c r="M92" i="35"/>
  <c r="J265" i="35"/>
  <c r="M182" i="35"/>
  <c r="D320" i="38"/>
  <c r="M56" i="35"/>
  <c r="M376" i="35"/>
  <c r="J177" i="35"/>
  <c r="G439" i="38"/>
  <c r="M271" i="35"/>
  <c r="N207" i="35"/>
  <c r="N206" i="35"/>
  <c r="D315" i="38"/>
  <c r="N274" i="35"/>
  <c r="J125" i="35"/>
  <c r="N79" i="35"/>
  <c r="J129" i="35"/>
  <c r="J326" i="35"/>
  <c r="D279" i="38"/>
  <c r="J160" i="35"/>
  <c r="N27" i="35"/>
  <c r="J232" i="35"/>
  <c r="J280" i="35"/>
  <c r="J228" i="35"/>
  <c r="J236" i="35"/>
  <c r="D197" i="38"/>
  <c r="J195" i="35"/>
  <c r="M44" i="35"/>
  <c r="M322" i="35"/>
  <c r="M126" i="35"/>
  <c r="N33" i="35"/>
  <c r="M229" i="35"/>
  <c r="N340" i="35"/>
  <c r="F82" i="38"/>
  <c r="D208" i="38"/>
  <c r="N166" i="35"/>
  <c r="J35" i="37"/>
  <c r="M15" i="35"/>
  <c r="N263" i="35"/>
  <c r="M40" i="35"/>
  <c r="D235" i="38"/>
  <c r="M125" i="35"/>
  <c r="N126" i="35"/>
  <c r="M102" i="35"/>
  <c r="D164" i="38"/>
  <c r="N250" i="35"/>
  <c r="D228" i="38"/>
  <c r="N150" i="35"/>
  <c r="M33" i="35"/>
  <c r="D265" i="38"/>
  <c r="J208" i="35"/>
  <c r="D258" i="38"/>
  <c r="N325" i="35"/>
  <c r="J285" i="35"/>
  <c r="J153" i="35"/>
  <c r="M72" i="35"/>
  <c r="D300" i="38"/>
  <c r="N139" i="35"/>
  <c r="J82" i="35"/>
  <c r="M110" i="35"/>
  <c r="H13" i="38"/>
  <c r="N229" i="35"/>
  <c r="N111" i="35"/>
  <c r="D317" i="38"/>
  <c r="M22" i="35"/>
  <c r="M315" i="35"/>
  <c r="M223" i="35"/>
  <c r="N83" i="35"/>
  <c r="J59" i="35"/>
  <c r="J210" i="35"/>
  <c r="E150" i="38"/>
  <c r="N286" i="35"/>
  <c r="J306" i="35"/>
  <c r="J176" i="35"/>
  <c r="N343" i="35"/>
  <c r="M77" i="35"/>
  <c r="E185" i="38"/>
  <c r="N163" i="35"/>
  <c r="D249" i="38"/>
  <c r="E52" i="38"/>
  <c r="J283" i="35"/>
  <c r="J334" i="35"/>
  <c r="J282" i="35"/>
  <c r="M50" i="35"/>
  <c r="H33" i="38"/>
  <c r="K46" i="35"/>
  <c r="D210" i="38"/>
  <c r="N319" i="35"/>
  <c r="M147" i="35"/>
  <c r="D328" i="38"/>
  <c r="M136" i="35"/>
  <c r="N96" i="35"/>
  <c r="N208" i="35"/>
  <c r="N116" i="35"/>
  <c r="N105" i="35"/>
  <c r="J73" i="35"/>
  <c r="D155" i="38"/>
  <c r="M321" i="35"/>
  <c r="J284" i="35"/>
  <c r="J289" i="35"/>
  <c r="M284" i="35"/>
  <c r="D201" i="38"/>
  <c r="N342" i="35"/>
  <c r="D340" i="38"/>
  <c r="N262" i="35"/>
  <c r="M96" i="35"/>
  <c r="N341" i="35"/>
  <c r="J77" i="35"/>
  <c r="M331" i="35"/>
  <c r="M205" i="35"/>
  <c r="E28" i="38"/>
  <c r="D18" i="38"/>
  <c r="D227" i="38"/>
  <c r="J175" i="35"/>
  <c r="D16" i="38"/>
  <c r="N121" i="35"/>
  <c r="E195" i="38"/>
  <c r="E131" i="38"/>
  <c r="K431" i="38"/>
  <c r="E35" i="38"/>
  <c r="N141" i="35"/>
  <c r="N420" i="38"/>
  <c r="F304" i="38"/>
  <c r="M429" i="38"/>
  <c r="F197" i="38"/>
  <c r="N82" i="35"/>
  <c r="M402" i="35"/>
  <c r="M177" i="35"/>
  <c r="O9" i="37"/>
  <c r="F79" i="38"/>
  <c r="D7" i="38"/>
  <c r="O10" i="37"/>
  <c r="M327" i="35"/>
  <c r="J97" i="35"/>
  <c r="D171" i="38"/>
  <c r="M261" i="35"/>
  <c r="M288" i="35"/>
  <c r="N120" i="35"/>
  <c r="R10" i="37"/>
  <c r="J132" i="35"/>
  <c r="N10" i="37"/>
  <c r="J271" i="35"/>
  <c r="J201" i="35"/>
  <c r="D343" i="38"/>
  <c r="J90" i="35"/>
  <c r="N278" i="35"/>
  <c r="M152" i="35"/>
  <c r="D244" i="38"/>
  <c r="D217" i="38"/>
  <c r="N148" i="35"/>
  <c r="M256" i="35"/>
  <c r="J230" i="35"/>
  <c r="E430" i="38"/>
  <c r="N107" i="35"/>
  <c r="N39" i="35"/>
  <c r="F91" i="38"/>
  <c r="D302" i="38"/>
  <c r="L102" i="35"/>
  <c r="D168" i="38"/>
  <c r="I441" i="38"/>
  <c r="J263" i="35"/>
  <c r="J240" i="35"/>
  <c r="M35" i="35"/>
  <c r="D253" i="38"/>
  <c r="J314" i="35"/>
  <c r="D242" i="38"/>
  <c r="F112" i="38"/>
  <c r="D146" i="38"/>
  <c r="J202" i="35"/>
  <c r="M104" i="35"/>
  <c r="D20" i="38"/>
  <c r="N80" i="35"/>
  <c r="M244" i="35"/>
  <c r="N395" i="35"/>
  <c r="M289" i="35"/>
  <c r="M290" i="35"/>
  <c r="G24" i="38"/>
  <c r="N246" i="35"/>
  <c r="D272" i="38"/>
  <c r="E177" i="38"/>
  <c r="M245" i="35"/>
  <c r="N266" i="35"/>
  <c r="M329" i="35"/>
  <c r="G436" i="38"/>
  <c r="M295" i="35"/>
  <c r="F178" i="38"/>
  <c r="J120" i="35"/>
  <c r="M98" i="35"/>
  <c r="J99" i="35"/>
  <c r="N168" i="35"/>
  <c r="J205" i="35"/>
  <c r="N7" i="37"/>
  <c r="D153" i="38"/>
  <c r="J307" i="35"/>
  <c r="E262" i="38"/>
  <c r="D10" i="38"/>
  <c r="M57" i="35"/>
  <c r="M326" i="35"/>
  <c r="F22" i="38"/>
  <c r="M89" i="35"/>
  <c r="N268" i="35"/>
  <c r="D234" i="38"/>
  <c r="N386" i="35"/>
  <c r="D283" i="38"/>
  <c r="J313" i="35"/>
  <c r="M201" i="35"/>
  <c r="J131" i="35"/>
  <c r="D187" i="38"/>
  <c r="D231" i="38"/>
  <c r="M5" i="35"/>
  <c r="N330" i="35"/>
  <c r="M164" i="35"/>
  <c r="D257" i="38"/>
  <c r="J299" i="35"/>
  <c r="M200" i="35"/>
  <c r="J53" i="35"/>
  <c r="D345" i="38"/>
  <c r="M210" i="35"/>
  <c r="N290" i="35"/>
  <c r="N328" i="35"/>
  <c r="D344" i="38"/>
  <c r="H26" i="38"/>
  <c r="D180" i="38"/>
  <c r="M162" i="35"/>
  <c r="M262" i="35"/>
  <c r="D267" i="38"/>
  <c r="J67" i="35"/>
  <c r="N26" i="35"/>
  <c r="N73" i="35"/>
  <c r="D248" i="38"/>
  <c r="F25" i="38"/>
  <c r="D271" i="38"/>
  <c r="J319" i="35"/>
  <c r="D338" i="38"/>
  <c r="J254" i="35"/>
  <c r="N334" i="35"/>
  <c r="G426" i="38"/>
  <c r="J51" i="35"/>
  <c r="R6" i="37"/>
  <c r="M129" i="35"/>
  <c r="M42" i="35"/>
  <c r="J172" i="35"/>
  <c r="N219" i="35"/>
  <c r="O13" i="37"/>
  <c r="J198" i="35"/>
  <c r="L441" i="38"/>
  <c r="G4" i="38"/>
  <c r="N437" i="38"/>
  <c r="S10" i="37"/>
  <c r="G22" i="38"/>
  <c r="N81" i="35"/>
  <c r="N191" i="35"/>
  <c r="M339" i="35"/>
  <c r="N352" i="35"/>
  <c r="N145" i="35"/>
  <c r="M297" i="35"/>
  <c r="E440" i="38"/>
  <c r="M21" i="35"/>
  <c r="E187" i="38"/>
  <c r="M135" i="35"/>
  <c r="F115" i="38"/>
  <c r="N181" i="35"/>
  <c r="G3" i="38"/>
  <c r="H441" i="38"/>
  <c r="N127" i="35"/>
  <c r="J323" i="35"/>
  <c r="M199" i="35"/>
  <c r="J113" i="35"/>
  <c r="J144" i="35"/>
  <c r="J83" i="35"/>
  <c r="J169" i="35"/>
  <c r="D289" i="38"/>
  <c r="N54" i="35"/>
  <c r="F73" i="38"/>
  <c r="J255" i="35"/>
  <c r="D274" i="38"/>
  <c r="J158" i="35"/>
  <c r="D221" i="38"/>
  <c r="J261" i="35"/>
  <c r="N123" i="35"/>
  <c r="J123" i="35"/>
  <c r="N220" i="35"/>
  <c r="N109" i="35"/>
  <c r="F407" i="38"/>
  <c r="M41" i="35"/>
  <c r="D161" i="38"/>
  <c r="N315" i="35"/>
  <c r="D211" i="38"/>
  <c r="N333" i="35"/>
  <c r="N332" i="35"/>
  <c r="J189" i="35"/>
  <c r="N302" i="35"/>
  <c r="F129" i="38"/>
  <c r="M6" i="35"/>
  <c r="D346" i="38"/>
  <c r="J110" i="35"/>
  <c r="M80" i="35"/>
  <c r="M196" i="35"/>
  <c r="M225" i="35"/>
  <c r="D334" i="38"/>
  <c r="N373" i="35"/>
  <c r="N42" i="35"/>
  <c r="N350" i="35"/>
  <c r="L61" i="35"/>
  <c r="N314" i="35"/>
  <c r="J16" i="35"/>
  <c r="J212" i="35"/>
  <c r="L57" i="35"/>
  <c r="N254" i="35"/>
  <c r="N294" i="35"/>
  <c r="N170" i="35"/>
  <c r="M247" i="35"/>
  <c r="J204" i="35"/>
  <c r="M323" i="35"/>
  <c r="N403" i="35"/>
  <c r="M139" i="35"/>
  <c r="M273" i="35"/>
  <c r="J105" i="35"/>
  <c r="N180" i="35"/>
  <c r="N301" i="35"/>
  <c r="J301" i="35"/>
  <c r="D296" i="38"/>
  <c r="N337" i="35"/>
  <c r="D322" i="38"/>
  <c r="J293" i="35"/>
  <c r="D3" i="38"/>
  <c r="M253" i="35"/>
  <c r="M101" i="35"/>
  <c r="M144" i="35"/>
  <c r="D245" i="38"/>
  <c r="N53" i="35"/>
  <c r="J226" i="35"/>
  <c r="N4" i="35"/>
  <c r="N368" i="35"/>
  <c r="J298" i="35"/>
  <c r="K5" i="37"/>
  <c r="E179" i="38"/>
  <c r="N74" i="35"/>
  <c r="D273" i="38"/>
  <c r="N299" i="35"/>
  <c r="J217" i="35"/>
  <c r="F31" i="38"/>
  <c r="N104" i="35"/>
  <c r="J209" i="35"/>
  <c r="N281" i="35"/>
  <c r="D238" i="38"/>
  <c r="M154" i="35"/>
  <c r="M228" i="35"/>
  <c r="N93" i="35"/>
  <c r="N363" i="35"/>
  <c r="F147" i="38"/>
  <c r="N189" i="35"/>
  <c r="M31" i="35"/>
  <c r="N40" i="35"/>
  <c r="M306" i="35"/>
  <c r="L433" i="38"/>
  <c r="K417" i="38"/>
  <c r="F116" i="38"/>
  <c r="N192" i="35"/>
  <c r="J434" i="38"/>
  <c r="M313" i="35"/>
  <c r="N131" i="35"/>
  <c r="L97" i="35"/>
  <c r="H17" i="38"/>
  <c r="L22" i="35"/>
  <c r="G40" i="38"/>
  <c r="M239" i="35"/>
  <c r="F17" i="38"/>
  <c r="E402" i="38"/>
  <c r="J296" i="35"/>
  <c r="N259" i="35"/>
  <c r="M189" i="35"/>
  <c r="H424" i="38"/>
  <c r="F323" i="38"/>
  <c r="D143" i="38"/>
  <c r="J126" i="35"/>
  <c r="N28" i="35"/>
  <c r="M278" i="35"/>
  <c r="N95" i="35"/>
  <c r="J91" i="35"/>
  <c r="E172" i="38"/>
  <c r="N30" i="35"/>
  <c r="N323" i="35"/>
  <c r="J124" i="35"/>
  <c r="J128" i="35"/>
  <c r="M218" i="35"/>
  <c r="E268" i="38"/>
  <c r="F52" i="38"/>
  <c r="D292" i="38"/>
  <c r="D14" i="38"/>
  <c r="M32" i="35"/>
  <c r="F315" i="38"/>
  <c r="M131" i="35"/>
  <c r="J81" i="35"/>
  <c r="M358" i="35"/>
  <c r="N177" i="35"/>
  <c r="J256" i="35"/>
  <c r="N346" i="35"/>
  <c r="D281" i="38"/>
  <c r="J109" i="35"/>
  <c r="P5" i="37"/>
  <c r="D147" i="38"/>
  <c r="M237" i="35"/>
  <c r="J286" i="35"/>
  <c r="M219" i="35"/>
  <c r="N173" i="35"/>
  <c r="M148" i="35"/>
  <c r="N102" i="35"/>
  <c r="N296" i="35"/>
  <c r="J287" i="35"/>
  <c r="D207" i="38"/>
  <c r="L67" i="35"/>
  <c r="N8" i="35"/>
  <c r="D341" i="38"/>
  <c r="M91" i="35"/>
  <c r="N261" i="35"/>
  <c r="E271" i="38"/>
  <c r="M303" i="35"/>
  <c r="N405" i="35"/>
  <c r="N378" i="35"/>
  <c r="M153" i="35"/>
  <c r="N158" i="35"/>
  <c r="J100" i="35"/>
  <c r="F4" i="38"/>
  <c r="J69" i="35"/>
  <c r="F170" i="38"/>
  <c r="D176" i="38"/>
  <c r="K428" i="38"/>
  <c r="J31" i="35"/>
  <c r="F332" i="38"/>
  <c r="J31" i="37"/>
  <c r="F33" i="38"/>
  <c r="N264" i="35"/>
  <c r="J325" i="35"/>
  <c r="M16" i="35"/>
  <c r="M425" i="38"/>
  <c r="M291" i="35"/>
  <c r="N380" i="35"/>
  <c r="D314" i="38"/>
  <c r="N354" i="35"/>
  <c r="J333" i="35"/>
  <c r="N235" i="35"/>
  <c r="N388" i="35"/>
  <c r="D295" i="38"/>
  <c r="K6" i="35"/>
  <c r="E258" i="38"/>
  <c r="N390" i="35"/>
  <c r="J238" i="35"/>
  <c r="D222" i="38"/>
  <c r="N382" i="35"/>
  <c r="J259" i="35"/>
  <c r="N320" i="35"/>
  <c r="N267" i="35"/>
  <c r="D182" i="38"/>
  <c r="N13" i="35"/>
  <c r="N86" i="35"/>
  <c r="N224" i="35"/>
  <c r="N165" i="35"/>
  <c r="M103" i="35"/>
  <c r="N366" i="35"/>
  <c r="K10" i="35"/>
  <c r="N195" i="35"/>
  <c r="M212" i="35"/>
  <c r="E246" i="38"/>
  <c r="D151" i="38"/>
  <c r="F83" i="38"/>
  <c r="J75" i="35"/>
  <c r="D144" i="38"/>
  <c r="D184" i="38"/>
  <c r="M227" i="35"/>
  <c r="M149" i="35"/>
  <c r="M95" i="35"/>
  <c r="N41" i="35"/>
  <c r="M47" i="35"/>
  <c r="J78" i="35"/>
  <c r="M207" i="35"/>
  <c r="E120" i="38"/>
  <c r="D331" i="38"/>
  <c r="E17" i="38"/>
  <c r="D307" i="38"/>
  <c r="J8" i="35"/>
  <c r="M161" i="35"/>
  <c r="J15" i="35"/>
  <c r="H47" i="38"/>
  <c r="M49" i="35"/>
  <c r="M251" i="35"/>
  <c r="J242" i="35"/>
  <c r="F164" i="38"/>
  <c r="N38" i="35"/>
  <c r="F134" i="38"/>
  <c r="E237" i="38"/>
  <c r="L5" i="37"/>
  <c r="M170" i="35"/>
  <c r="M68" i="35"/>
  <c r="H39" i="38"/>
  <c r="M187" i="35"/>
  <c r="J145" i="35"/>
  <c r="J89" i="35"/>
  <c r="D347" i="38"/>
  <c r="D321" i="38"/>
  <c r="N16" i="35"/>
  <c r="J237" i="35"/>
  <c r="N270" i="35"/>
  <c r="M233" i="35"/>
  <c r="N97" i="35"/>
  <c r="N51" i="35"/>
  <c r="N32" i="35"/>
  <c r="J190" i="35"/>
  <c r="J275" i="35"/>
  <c r="F86" i="38"/>
  <c r="J104" i="35"/>
  <c r="N308" i="35"/>
  <c r="J274" i="35"/>
  <c r="N56" i="35"/>
  <c r="J317" i="35"/>
  <c r="N205" i="35"/>
  <c r="M307" i="35"/>
  <c r="M305" i="35"/>
  <c r="N280" i="35"/>
  <c r="N20" i="35"/>
  <c r="F161" i="38"/>
  <c r="N369" i="35"/>
  <c r="M65" i="35"/>
  <c r="L19" i="35"/>
  <c r="E421" i="38"/>
  <c r="N66" i="35"/>
  <c r="M46" i="35"/>
  <c r="J322" i="35"/>
  <c r="N159" i="35"/>
  <c r="N130" i="35"/>
  <c r="N228" i="35"/>
  <c r="J102" i="35"/>
  <c r="M13" i="35"/>
  <c r="F92" i="38"/>
  <c r="D230" i="38"/>
  <c r="M337" i="35"/>
  <c r="D6" i="38"/>
  <c r="L98" i="35"/>
  <c r="D214" i="38"/>
  <c r="J96" i="35"/>
  <c r="D140" i="38"/>
  <c r="N353" i="35"/>
  <c r="N397" i="35"/>
  <c r="M215" i="35"/>
  <c r="M216" i="35"/>
  <c r="J21" i="35"/>
  <c r="F26" i="38"/>
  <c r="M99" i="35"/>
  <c r="E412" i="38"/>
  <c r="M14" i="35"/>
  <c r="N285" i="35"/>
  <c r="N217" i="35"/>
  <c r="J186" i="35"/>
  <c r="F334" i="38"/>
  <c r="M285" i="35"/>
  <c r="N344" i="35"/>
  <c r="M107" i="35"/>
  <c r="N273" i="35"/>
  <c r="J268" i="35"/>
  <c r="J219" i="35"/>
  <c r="D204" i="38"/>
  <c r="M160" i="35"/>
  <c r="L107" i="35"/>
  <c r="N326" i="35"/>
  <c r="D342" i="38"/>
  <c r="K43" i="35"/>
  <c r="M23" i="35"/>
  <c r="E125" i="38"/>
  <c r="N176" i="35"/>
  <c r="F329" i="38"/>
  <c r="M158" i="35"/>
  <c r="M378" i="35"/>
  <c r="N22" i="35"/>
  <c r="M127" i="35"/>
  <c r="J119" i="35"/>
  <c r="M221" i="35"/>
  <c r="J250" i="35"/>
  <c r="J178" i="35"/>
  <c r="J88" i="35"/>
  <c r="E127" i="38"/>
  <c r="M87" i="35"/>
  <c r="E256" i="38"/>
  <c r="F152" i="38"/>
  <c r="M330" i="35"/>
  <c r="M81" i="35"/>
  <c r="D195" i="38"/>
  <c r="J58" i="35"/>
  <c r="M48" i="35"/>
  <c r="N393" i="35"/>
  <c r="G66" i="38"/>
  <c r="F157" i="38"/>
  <c r="J288" i="35"/>
  <c r="F35" i="38"/>
  <c r="D4" i="38"/>
  <c r="E292" i="38"/>
  <c r="J206" i="35"/>
  <c r="M255" i="35"/>
  <c r="N240" i="35"/>
  <c r="F141" i="38"/>
  <c r="M214" i="35"/>
  <c r="M270" i="35"/>
  <c r="H23" i="38"/>
  <c r="N160" i="35"/>
  <c r="G57" i="38"/>
  <c r="K17" i="35"/>
  <c r="N236" i="35"/>
  <c r="J320" i="35"/>
  <c r="E115" i="38"/>
  <c r="E275" i="38"/>
  <c r="M173" i="35"/>
  <c r="D243" i="38"/>
  <c r="N118" i="35"/>
  <c r="H439" i="38"/>
  <c r="M54" i="35"/>
  <c r="J103" i="35"/>
  <c r="M174" i="35"/>
  <c r="N103" i="35"/>
  <c r="E406" i="38"/>
  <c r="K29" i="35"/>
  <c r="G53" i="38"/>
  <c r="N436" i="38"/>
  <c r="N331" i="35"/>
  <c r="J278" i="35"/>
  <c r="D12" i="38"/>
  <c r="J183" i="35"/>
  <c r="J227" i="35"/>
  <c r="N76" i="35"/>
  <c r="D198" i="38"/>
  <c r="N50" i="35"/>
  <c r="M260" i="35"/>
  <c r="J117" i="35"/>
  <c r="D240" i="38"/>
  <c r="N271" i="35"/>
  <c r="M296" i="35"/>
  <c r="D179" i="38"/>
  <c r="M440" i="38"/>
  <c r="H433" i="38"/>
  <c r="N134" i="35"/>
  <c r="R15" i="37"/>
  <c r="J213" i="35"/>
  <c r="N142" i="35"/>
  <c r="N311" i="35"/>
  <c r="N87" i="35"/>
  <c r="N227" i="35"/>
  <c r="N307" i="35"/>
  <c r="J335" i="35"/>
  <c r="M267" i="35"/>
  <c r="F126" i="38"/>
  <c r="N303" i="35"/>
  <c r="J239" i="35"/>
  <c r="L118" i="35"/>
  <c r="H5" i="38"/>
  <c r="N381" i="35"/>
  <c r="F185" i="38"/>
  <c r="N364" i="35"/>
  <c r="M171" i="35"/>
  <c r="N3" i="35"/>
  <c r="M195" i="35"/>
  <c r="J277" i="35"/>
  <c r="M269" i="35"/>
  <c r="M117" i="35"/>
  <c r="J225" i="35"/>
  <c r="M132" i="35"/>
  <c r="J101" i="35"/>
  <c r="F160" i="38"/>
  <c r="N34" i="35"/>
  <c r="N85" i="35"/>
  <c r="F422" i="38"/>
  <c r="N376" i="35"/>
  <c r="N19" i="35"/>
  <c r="N45" i="35"/>
  <c r="M163" i="35"/>
  <c r="L108" i="35"/>
  <c r="N75" i="35"/>
  <c r="N68" i="35"/>
  <c r="D306" i="38"/>
  <c r="M62" i="35"/>
  <c r="M213" i="35"/>
  <c r="E240" i="38"/>
  <c r="M217" i="35"/>
  <c r="N297" i="35"/>
  <c r="M341" i="35"/>
  <c r="E276" i="38"/>
  <c r="M292" i="35"/>
  <c r="N199" i="35"/>
  <c r="N276" i="35"/>
  <c r="N322" i="35"/>
  <c r="J166" i="35"/>
  <c r="M66" i="35"/>
  <c r="F18" i="38"/>
  <c r="J151" i="35"/>
  <c r="N98" i="35"/>
  <c r="N383" i="35"/>
  <c r="N238" i="35"/>
  <c r="J418" i="38"/>
  <c r="N358" i="35"/>
  <c r="F384" i="38"/>
  <c r="J336" i="35"/>
  <c r="N122" i="35"/>
  <c r="N89" i="35"/>
  <c r="M71" i="35"/>
  <c r="E38" i="38"/>
  <c r="M224" i="35"/>
  <c r="K13" i="37"/>
  <c r="E27" i="38"/>
  <c r="F15" i="38"/>
  <c r="M112" i="35"/>
  <c r="J248" i="35"/>
  <c r="N269" i="35"/>
  <c r="L54" i="35"/>
  <c r="F396" i="38"/>
  <c r="J330" i="35"/>
  <c r="N212" i="35"/>
  <c r="D263" i="38"/>
  <c r="M188" i="35"/>
  <c r="N210" i="35"/>
  <c r="J229" i="35"/>
  <c r="K16" i="37"/>
  <c r="D149" i="38"/>
  <c r="E87" i="38"/>
  <c r="M190" i="35"/>
  <c r="M111" i="35"/>
  <c r="D186" i="38"/>
  <c r="N211" i="35"/>
  <c r="N124" i="35"/>
  <c r="E71" i="38"/>
  <c r="J87" i="35"/>
  <c r="E133" i="38"/>
  <c r="M156" i="35"/>
  <c r="M367" i="35"/>
  <c r="N321" i="35"/>
  <c r="E182" i="38"/>
  <c r="D247" i="38"/>
  <c r="N146" i="35"/>
  <c r="D215" i="38"/>
  <c r="M426" i="38"/>
  <c r="N392" i="35"/>
  <c r="M300" i="35"/>
  <c r="J304" i="35"/>
  <c r="K52" i="35"/>
  <c r="D246" i="38"/>
  <c r="L17" i="35"/>
  <c r="D316" i="38"/>
  <c r="G27" i="38"/>
  <c r="L429" i="38"/>
  <c r="F322" i="38"/>
  <c r="N47" i="35"/>
  <c r="D190" i="38"/>
  <c r="M38" i="35"/>
  <c r="N52" i="35"/>
  <c r="N100" i="35"/>
  <c r="J221" i="35"/>
  <c r="N113" i="35"/>
  <c r="M349" i="35"/>
  <c r="J328" i="35"/>
  <c r="N356" i="35"/>
  <c r="D145" i="38"/>
  <c r="D156" i="38"/>
  <c r="E283" i="38"/>
  <c r="M36" i="35"/>
  <c r="N21" i="37"/>
  <c r="M151" i="35"/>
  <c r="E207" i="38"/>
  <c r="E83" i="38"/>
  <c r="N46" i="35"/>
  <c r="M133" i="35"/>
  <c r="J341" i="35"/>
  <c r="D323" i="38"/>
  <c r="D286" i="38"/>
  <c r="J294" i="35"/>
  <c r="J32" i="35"/>
  <c r="E93" i="38"/>
  <c r="N194" i="35"/>
  <c r="E211" i="38"/>
  <c r="D212" i="38"/>
  <c r="M259" i="35"/>
  <c r="J245" i="35"/>
  <c r="F434" i="38"/>
  <c r="M17" i="35"/>
  <c r="M105" i="35"/>
  <c r="E176" i="38"/>
  <c r="N138" i="35"/>
  <c r="E32" i="38"/>
  <c r="J11" i="35"/>
  <c r="H61" i="38"/>
  <c r="M203" i="35"/>
  <c r="E34" i="38"/>
  <c r="M374" i="35"/>
  <c r="N198" i="35"/>
  <c r="F11" i="38"/>
  <c r="I418" i="38"/>
  <c r="P3" i="37"/>
  <c r="J17" i="37"/>
  <c r="H45" i="38"/>
  <c r="M232" i="35"/>
  <c r="M25" i="35"/>
  <c r="N234" i="35"/>
  <c r="J41" i="35"/>
  <c r="J43" i="35"/>
  <c r="K441" i="38"/>
  <c r="M383" i="35"/>
  <c r="D237" i="38"/>
  <c r="F378" i="38"/>
  <c r="E287" i="38"/>
  <c r="M407" i="35"/>
  <c r="N18" i="35"/>
  <c r="F117" i="38"/>
  <c r="N384" i="35"/>
  <c r="G421" i="38"/>
  <c r="M281" i="35"/>
  <c r="D19" i="38"/>
  <c r="H27" i="38"/>
  <c r="J420" i="38"/>
  <c r="N188" i="35"/>
  <c r="L15" i="35"/>
  <c r="F13" i="38"/>
  <c r="F361" i="38"/>
  <c r="H425" i="38"/>
  <c r="E99" i="38"/>
  <c r="M432" i="38"/>
  <c r="D232" i="38"/>
  <c r="N12" i="35"/>
  <c r="F320" i="38"/>
  <c r="L21" i="35"/>
  <c r="E278" i="38"/>
  <c r="F192" i="38"/>
  <c r="N174" i="35"/>
  <c r="M362" i="35"/>
  <c r="J159" i="35"/>
  <c r="N62" i="35"/>
  <c r="N313" i="35"/>
  <c r="G58" i="38"/>
  <c r="H28" i="38"/>
  <c r="F312" i="38"/>
  <c r="D166" i="38"/>
  <c r="D189" i="38"/>
  <c r="F306" i="38"/>
  <c r="J432" i="38"/>
  <c r="G437" i="38"/>
  <c r="F96" i="38"/>
  <c r="E15" i="38"/>
  <c r="F426" i="38"/>
  <c r="N135" i="35"/>
  <c r="L125" i="35"/>
  <c r="K2" i="35"/>
  <c r="J180" i="35"/>
  <c r="F412" i="38"/>
  <c r="L44" i="35"/>
  <c r="M427" i="38"/>
  <c r="E405" i="38"/>
  <c r="J25" i="35"/>
  <c r="L39" i="35"/>
  <c r="E78" i="38"/>
  <c r="M45" i="35"/>
  <c r="M334" i="35"/>
  <c r="J115" i="35"/>
  <c r="J233" i="35"/>
  <c r="N99" i="35"/>
  <c r="L69" i="35"/>
  <c r="E166" i="38"/>
  <c r="D254" i="38"/>
  <c r="E248" i="38"/>
  <c r="F130" i="38"/>
  <c r="M168" i="35"/>
  <c r="M405" i="35"/>
  <c r="G28" i="38"/>
  <c r="E416" i="38"/>
  <c r="L135" i="35"/>
  <c r="M165" i="35"/>
  <c r="N70" i="35"/>
  <c r="J295" i="35"/>
  <c r="M272" i="35"/>
  <c r="M9" i="35"/>
  <c r="J130" i="35"/>
  <c r="J133" i="35"/>
  <c r="D188" i="38"/>
  <c r="M166" i="35"/>
  <c r="J134" i="35"/>
  <c r="D225" i="38"/>
  <c r="M336" i="35"/>
  <c r="F50" i="38"/>
  <c r="M319" i="35"/>
  <c r="J111" i="35"/>
  <c r="F55" i="38"/>
  <c r="F128" i="38"/>
  <c r="M93" i="35"/>
  <c r="N247" i="35"/>
  <c r="J61" i="35"/>
  <c r="M3" i="35"/>
  <c r="N408" i="35"/>
  <c r="J273" i="35"/>
  <c r="E138" i="38"/>
  <c r="D291" i="38"/>
  <c r="N72" i="35"/>
  <c r="E423" i="38"/>
  <c r="J231" i="35"/>
  <c r="H434" i="38"/>
  <c r="M368" i="35"/>
  <c r="M280" i="35"/>
  <c r="F93" i="38"/>
  <c r="N183" i="35"/>
  <c r="E30" i="38"/>
  <c r="F63" i="38"/>
  <c r="E121" i="38"/>
  <c r="K62" i="35"/>
  <c r="N396" i="35"/>
  <c r="E98" i="38"/>
  <c r="M128" i="35"/>
  <c r="D9" i="38"/>
  <c r="F429" i="38"/>
  <c r="L85" i="35"/>
  <c r="E418" i="38"/>
  <c r="I433" i="38"/>
  <c r="D15" i="38"/>
  <c r="J68" i="35"/>
  <c r="F441" i="38"/>
  <c r="H18" i="38"/>
  <c r="J290" i="35"/>
  <c r="D327" i="38"/>
  <c r="H422" i="38"/>
  <c r="M150" i="35"/>
  <c r="E408" i="38"/>
  <c r="M351" i="35"/>
  <c r="E146" i="38"/>
  <c r="F49" i="38"/>
  <c r="J29" i="37"/>
  <c r="E29" i="38"/>
  <c r="M282" i="35"/>
  <c r="J39" i="35"/>
  <c r="N187" i="35"/>
  <c r="O7" i="37"/>
  <c r="M52" i="35"/>
  <c r="E230" i="38"/>
  <c r="F98" i="38"/>
  <c r="L134" i="35"/>
  <c r="Q21" i="37"/>
  <c r="N391" i="35"/>
  <c r="M122" i="35"/>
  <c r="N178" i="35"/>
  <c r="J44" i="35"/>
  <c r="M13" i="37"/>
  <c r="J23" i="35"/>
  <c r="D173" i="38"/>
  <c r="E238" i="38"/>
  <c r="M14" i="37"/>
  <c r="K9" i="37"/>
  <c r="F397" i="38"/>
  <c r="J17" i="35"/>
  <c r="E92" i="38"/>
  <c r="J46" i="35"/>
  <c r="E219" i="38"/>
  <c r="N377" i="35"/>
  <c r="N394" i="35"/>
  <c r="F344" i="38"/>
  <c r="D348" i="38"/>
  <c r="G62" i="38"/>
  <c r="N230" i="35"/>
  <c r="G55" i="38"/>
  <c r="M375" i="35"/>
  <c r="L62" i="35"/>
  <c r="N196" i="35"/>
  <c r="E407" i="38"/>
  <c r="N221" i="35"/>
  <c r="E132" i="38"/>
  <c r="F138" i="38"/>
  <c r="L75" i="35"/>
  <c r="J235" i="35"/>
  <c r="F319" i="38"/>
  <c r="K51" i="35"/>
  <c r="F3" i="38"/>
  <c r="M430" i="38"/>
  <c r="K18" i="35"/>
  <c r="E58" i="38"/>
  <c r="F421" i="38"/>
  <c r="L114" i="35"/>
  <c r="J339" i="35"/>
  <c r="E167" i="38"/>
  <c r="N435" i="38"/>
  <c r="G423" i="38"/>
  <c r="E39" i="38"/>
  <c r="K60" i="35"/>
  <c r="J14" i="35"/>
  <c r="L76" i="35"/>
  <c r="J5" i="35"/>
  <c r="F318" i="38"/>
  <c r="E123" i="38"/>
  <c r="E44" i="38"/>
  <c r="F108" i="38"/>
  <c r="E245" i="38"/>
  <c r="J281" i="35"/>
  <c r="M142" i="35"/>
  <c r="J272" i="35"/>
  <c r="M34" i="35"/>
  <c r="M314" i="35"/>
  <c r="J85" i="35"/>
  <c r="M88" i="35"/>
  <c r="J122" i="35"/>
  <c r="M7" i="35"/>
  <c r="D150" i="38"/>
  <c r="F339" i="38"/>
  <c r="M304" i="35"/>
  <c r="J127" i="35"/>
  <c r="M18" i="35"/>
  <c r="K4" i="35"/>
  <c r="E165" i="38"/>
  <c r="N108" i="35"/>
  <c r="J331" i="35"/>
  <c r="K438" i="38"/>
  <c r="F398" i="38"/>
  <c r="J154" i="35"/>
  <c r="J48" i="35"/>
  <c r="M124" i="35"/>
  <c r="L124" i="35"/>
  <c r="D142" i="38"/>
  <c r="D318" i="38"/>
  <c r="N426" i="38"/>
  <c r="M257" i="35"/>
  <c r="J426" i="38"/>
  <c r="N203" i="35"/>
  <c r="L90" i="35"/>
  <c r="N401" i="35"/>
  <c r="D339" i="38"/>
  <c r="F420" i="38"/>
  <c r="F406" i="38"/>
  <c r="E137" i="38"/>
  <c r="E157" i="38"/>
  <c r="F414" i="38"/>
  <c r="N132" i="35"/>
  <c r="K15" i="35"/>
  <c r="M84" i="35"/>
  <c r="E289" i="38"/>
  <c r="F171" i="38"/>
  <c r="I438" i="38"/>
  <c r="L80" i="35"/>
  <c r="N329" i="35"/>
  <c r="E122" i="38"/>
  <c r="K9" i="35"/>
  <c r="N312" i="35"/>
  <c r="E204" i="38"/>
  <c r="E21" i="38"/>
  <c r="H32" i="38"/>
  <c r="S17" i="37"/>
  <c r="M423" i="38"/>
  <c r="M7" i="37"/>
  <c r="N65" i="35"/>
  <c r="N402" i="35"/>
  <c r="M266" i="35"/>
  <c r="D196" i="38"/>
  <c r="E212" i="38"/>
  <c r="M377" i="35"/>
  <c r="G6" i="38"/>
  <c r="K22" i="35"/>
  <c r="M121" i="35"/>
  <c r="N5" i="35"/>
  <c r="M60" i="35"/>
  <c r="G23" i="38"/>
  <c r="F21" i="38"/>
  <c r="L5" i="35"/>
  <c r="N144" i="35"/>
  <c r="L93" i="35"/>
  <c r="K23" i="37"/>
  <c r="L123" i="35"/>
  <c r="N310" i="35"/>
  <c r="N226" i="35"/>
  <c r="J63" i="35"/>
  <c r="E118" i="38"/>
  <c r="D335" i="38"/>
  <c r="J92" i="35"/>
  <c r="M20" i="35"/>
  <c r="L13" i="35"/>
  <c r="N149" i="35"/>
  <c r="N11" i="37"/>
  <c r="K422" i="38"/>
  <c r="G29" i="38"/>
  <c r="E124" i="38"/>
  <c r="F366" i="38"/>
  <c r="H59" i="38"/>
  <c r="S7" i="37"/>
  <c r="E16" i="38"/>
  <c r="K34" i="35"/>
  <c r="F70" i="38"/>
  <c r="J66" i="35"/>
  <c r="F165" i="38"/>
  <c r="E169" i="38"/>
  <c r="H19" i="38"/>
  <c r="F106" i="38"/>
  <c r="M191" i="35"/>
  <c r="J55" i="35"/>
  <c r="E65" i="38"/>
  <c r="M58" i="35"/>
  <c r="J422" i="38"/>
  <c r="F350" i="38"/>
  <c r="H24" i="38"/>
  <c r="J2" i="35"/>
  <c r="E111" i="38"/>
  <c r="R13" i="37"/>
  <c r="E273" i="38"/>
  <c r="N200" i="35"/>
  <c r="E49" i="38"/>
  <c r="M35" i="37"/>
  <c r="M15" i="37"/>
  <c r="L440" i="38"/>
  <c r="I436" i="38"/>
  <c r="J193" i="35"/>
  <c r="E116" i="38"/>
  <c r="M193" i="35"/>
  <c r="N239" i="35"/>
  <c r="L133" i="35"/>
  <c r="F58" i="38"/>
  <c r="E206" i="38"/>
  <c r="F353" i="38"/>
  <c r="J192" i="35"/>
  <c r="D304" i="38"/>
  <c r="K426" i="38"/>
  <c r="N49" i="35"/>
  <c r="N306" i="35"/>
  <c r="M167" i="35"/>
  <c r="G419" i="38"/>
  <c r="M8" i="35"/>
  <c r="D251" i="38"/>
  <c r="N151" i="35"/>
  <c r="L421" i="38"/>
  <c r="D326" i="38"/>
  <c r="E414" i="38"/>
  <c r="M118" i="35"/>
  <c r="F140" i="38"/>
  <c r="N35" i="35"/>
  <c r="J308" i="35"/>
  <c r="J427" i="38"/>
  <c r="E192" i="38"/>
  <c r="N370" i="35"/>
  <c r="J148" i="35"/>
  <c r="G31" i="38"/>
  <c r="E51" i="38"/>
  <c r="D199" i="38"/>
  <c r="J165" i="35"/>
  <c r="H421" i="38"/>
  <c r="K56" i="35"/>
  <c r="J116" i="35"/>
  <c r="N88" i="35"/>
  <c r="N114" i="35"/>
  <c r="N63" i="35"/>
  <c r="F38" i="38"/>
  <c r="E198" i="38"/>
  <c r="L103" i="35"/>
  <c r="M419" i="38"/>
  <c r="J324" i="35"/>
  <c r="N112" i="35"/>
  <c r="N283" i="35"/>
  <c r="J18" i="35"/>
  <c r="D270" i="38"/>
  <c r="G12" i="38"/>
  <c r="M119" i="35"/>
  <c r="E154" i="38"/>
  <c r="M2" i="35"/>
  <c r="G7" i="38"/>
  <c r="G435" i="38"/>
  <c r="O19" i="37"/>
  <c r="J135" i="35"/>
  <c r="L53" i="35"/>
  <c r="N14" i="37"/>
  <c r="J303" i="35"/>
  <c r="F186" i="38"/>
  <c r="N84" i="35"/>
  <c r="N119" i="35"/>
  <c r="M74" i="35"/>
  <c r="M76" i="35"/>
  <c r="N43" i="35"/>
  <c r="M106" i="35"/>
  <c r="J150" i="35"/>
  <c r="N154" i="35"/>
  <c r="M130" i="35"/>
  <c r="N94" i="35"/>
  <c r="D174" i="38"/>
  <c r="E225" i="38"/>
  <c r="J6" i="37"/>
  <c r="L112" i="35"/>
  <c r="D310" i="38"/>
  <c r="M312" i="35"/>
  <c r="G422" i="38"/>
  <c r="E60" i="38"/>
  <c r="M11" i="35"/>
  <c r="E164" i="38"/>
  <c r="D203" i="38"/>
  <c r="K433" i="38"/>
  <c r="M230" i="35"/>
  <c r="N92" i="35"/>
  <c r="F376" i="38"/>
  <c r="L34" i="35"/>
  <c r="D200" i="38"/>
  <c r="L30" i="35"/>
  <c r="Q17" i="37"/>
  <c r="N398" i="35"/>
  <c r="F325" i="38"/>
  <c r="D268" i="38"/>
  <c r="L438" i="38"/>
  <c r="E184" i="38"/>
  <c r="E77" i="38"/>
  <c r="M294" i="35"/>
  <c r="F41" i="38"/>
  <c r="E145" i="38"/>
  <c r="L11" i="35"/>
  <c r="K38" i="35"/>
  <c r="M120" i="35"/>
  <c r="K420" i="38"/>
  <c r="G63" i="38"/>
  <c r="L428" i="38"/>
  <c r="E293" i="38"/>
  <c r="E170" i="38"/>
  <c r="E234" i="38"/>
  <c r="M268" i="35"/>
  <c r="F435" i="38"/>
  <c r="N347" i="35"/>
  <c r="F417" i="38"/>
  <c r="N169" i="35"/>
  <c r="E91" i="38"/>
  <c r="J440" i="38"/>
  <c r="E47" i="38"/>
  <c r="F27" i="38"/>
  <c r="N164" i="35"/>
  <c r="D297" i="38"/>
  <c r="J70" i="35"/>
  <c r="F310" i="38"/>
  <c r="G44" i="38"/>
  <c r="J419" i="38"/>
  <c r="H65" i="38"/>
  <c r="N175" i="35"/>
  <c r="E106" i="38"/>
  <c r="E417" i="38"/>
  <c r="M194" i="35"/>
  <c r="I417" i="38"/>
  <c r="J241" i="35"/>
  <c r="J162" i="35"/>
  <c r="N37" i="35"/>
  <c r="D17" i="38"/>
  <c r="N265" i="35"/>
  <c r="J155" i="35"/>
  <c r="N213" i="35"/>
  <c r="M159" i="35"/>
  <c r="M399" i="35"/>
  <c r="J222" i="35"/>
  <c r="J214" i="35"/>
  <c r="J19" i="37"/>
  <c r="M275" i="35"/>
  <c r="M400" i="35"/>
  <c r="D158" i="38"/>
  <c r="F354" i="38"/>
  <c r="L23" i="35"/>
  <c r="J84" i="35"/>
  <c r="E18" i="38"/>
  <c r="D250" i="38"/>
  <c r="M338" i="35"/>
  <c r="E208" i="38"/>
  <c r="M23" i="37"/>
  <c r="H30" i="38"/>
  <c r="F386" i="38"/>
  <c r="E437" i="38"/>
  <c r="E279" i="38"/>
  <c r="F392" i="38"/>
  <c r="M123" i="35"/>
  <c r="E236" i="38"/>
  <c r="N362" i="35"/>
  <c r="M381" i="35"/>
  <c r="K31" i="35"/>
  <c r="J337" i="35"/>
  <c r="D332" i="38"/>
  <c r="M234" i="35"/>
  <c r="Q3" i="37"/>
  <c r="M373" i="35"/>
  <c r="E158" i="38"/>
  <c r="F114" i="38"/>
  <c r="N298" i="35"/>
  <c r="J163" i="35"/>
  <c r="N6" i="37"/>
  <c r="M371" i="35"/>
  <c r="E282" i="38"/>
  <c r="N161" i="35"/>
  <c r="H43" i="38"/>
  <c r="J316" i="35"/>
  <c r="S11" i="37"/>
  <c r="N204" i="35"/>
  <c r="H436" i="38"/>
  <c r="E11" i="38"/>
  <c r="M347" i="35"/>
  <c r="N349" i="35"/>
  <c r="F191" i="38"/>
  <c r="N167" i="35"/>
  <c r="K12" i="35"/>
  <c r="J25" i="37"/>
  <c r="F2" i="38"/>
  <c r="N36" i="35"/>
  <c r="M37" i="35"/>
  <c r="L50" i="35"/>
  <c r="D11" i="38"/>
  <c r="K13" i="35"/>
  <c r="F365" i="38"/>
  <c r="D226" i="38"/>
  <c r="F136" i="38"/>
  <c r="M198" i="35"/>
  <c r="J49" i="35"/>
  <c r="D261" i="38"/>
  <c r="J14" i="37"/>
  <c r="J182" i="35"/>
  <c r="N400" i="35"/>
  <c r="F403" i="38"/>
  <c r="N201" i="35"/>
  <c r="F173" i="38"/>
  <c r="M241" i="35"/>
  <c r="N241" i="35"/>
  <c r="N432" i="38"/>
  <c r="D256" i="38"/>
  <c r="L83" i="35"/>
  <c r="N244" i="35"/>
  <c r="K36" i="35"/>
  <c r="J252" i="35"/>
  <c r="L7" i="37"/>
  <c r="M395" i="35"/>
  <c r="E90" i="38"/>
  <c r="L105" i="35"/>
  <c r="E267" i="38"/>
  <c r="J11" i="37"/>
  <c r="M211" i="35"/>
  <c r="F358" i="38"/>
  <c r="F61" i="38"/>
  <c r="M242" i="35"/>
  <c r="N292" i="35"/>
  <c r="N190" i="35"/>
  <c r="F176" i="38"/>
  <c r="N428" i="38"/>
  <c r="K19" i="35"/>
  <c r="L127" i="35"/>
  <c r="J430" i="38"/>
  <c r="M78" i="35"/>
  <c r="L23" i="37"/>
  <c r="J309" i="35"/>
  <c r="J106" i="35"/>
  <c r="M287" i="35"/>
  <c r="N293" i="35"/>
  <c r="M27" i="35"/>
  <c r="E217" i="38"/>
  <c r="L92" i="35"/>
  <c r="K30" i="35"/>
  <c r="D266" i="38"/>
  <c r="E25" i="38"/>
  <c r="G424" i="38"/>
  <c r="H10" i="38"/>
  <c r="N417" i="38"/>
  <c r="E67" i="38"/>
  <c r="M328" i="35"/>
  <c r="D175" i="38"/>
  <c r="F425" i="38"/>
  <c r="M438" i="38"/>
  <c r="J179" i="35"/>
  <c r="M172" i="35"/>
  <c r="L45" i="35"/>
  <c r="E436" i="38"/>
  <c r="D290" i="38"/>
  <c r="M283" i="35"/>
  <c r="F423" i="38"/>
  <c r="P35" i="37"/>
  <c r="N272" i="35"/>
  <c r="E214" i="38"/>
  <c r="E24" i="38"/>
  <c r="N9" i="37"/>
  <c r="M140" i="35"/>
  <c r="N336" i="35"/>
  <c r="P6" i="37"/>
  <c r="E231" i="38"/>
  <c r="H22" i="38"/>
  <c r="N372" i="35"/>
  <c r="J71" i="35"/>
  <c r="L11" i="37"/>
  <c r="F330" i="38"/>
  <c r="E110" i="38"/>
  <c r="N128" i="35"/>
  <c r="F107" i="38"/>
  <c r="M220" i="35"/>
  <c r="J223" i="35"/>
  <c r="J311" i="35"/>
  <c r="D141" i="38"/>
  <c r="J107" i="35"/>
  <c r="N209" i="35"/>
  <c r="N279" i="35"/>
  <c r="N360" i="35"/>
  <c r="G47" i="38"/>
  <c r="D301" i="38"/>
  <c r="G56" i="38"/>
  <c r="N361" i="35"/>
  <c r="M134" i="35"/>
  <c r="O23" i="37"/>
  <c r="D282" i="38"/>
  <c r="M298" i="35"/>
  <c r="F360" i="38"/>
  <c r="J56" i="35"/>
  <c r="F438" i="38"/>
  <c r="J108" i="35"/>
  <c r="N223" i="35"/>
  <c r="F321" i="38"/>
  <c r="N407" i="35"/>
  <c r="M318" i="35"/>
  <c r="G20" i="38"/>
  <c r="M231" i="35"/>
  <c r="N60" i="35"/>
  <c r="M73" i="35"/>
  <c r="N275" i="35"/>
  <c r="D312" i="38"/>
  <c r="N13" i="37"/>
  <c r="M146" i="35"/>
  <c r="N379" i="35"/>
  <c r="D193" i="38"/>
  <c r="N289" i="35"/>
  <c r="F418" i="38"/>
  <c r="G19" i="38"/>
  <c r="F357" i="38"/>
  <c r="N7" i="35"/>
  <c r="F47" i="38"/>
  <c r="F90" i="38"/>
  <c r="M197" i="35"/>
  <c r="F182" i="38"/>
  <c r="J173" i="35"/>
  <c r="M401" i="35"/>
  <c r="M439" i="38"/>
  <c r="M406" i="35"/>
  <c r="J329" i="35"/>
  <c r="D172" i="38"/>
  <c r="J279" i="35"/>
  <c r="M369" i="35"/>
  <c r="N357" i="35"/>
  <c r="F326" i="38"/>
  <c r="E297" i="38"/>
  <c r="R7" i="37"/>
  <c r="E210" i="38"/>
  <c r="I429" i="38"/>
  <c r="L73" i="35"/>
  <c r="F179" i="38"/>
  <c r="L86" i="35"/>
  <c r="M176" i="35"/>
  <c r="G50" i="38"/>
  <c r="M431" i="38"/>
  <c r="D194" i="38"/>
  <c r="J7" i="35"/>
  <c r="F169" i="38"/>
  <c r="Q5" i="37"/>
  <c r="M348" i="35"/>
  <c r="O3" i="37"/>
  <c r="M365" i="35"/>
  <c r="E424" i="38"/>
  <c r="N257" i="35"/>
  <c r="J147" i="35"/>
  <c r="N324" i="35"/>
  <c r="L432" i="38"/>
  <c r="F81" i="38"/>
  <c r="J54" i="35"/>
  <c r="E284" i="38"/>
  <c r="F118" i="38"/>
  <c r="H7" i="38"/>
  <c r="N427" i="38"/>
  <c r="D294" i="38"/>
  <c r="E239" i="38"/>
  <c r="N9" i="35"/>
  <c r="N423" i="38"/>
  <c r="M340" i="35"/>
  <c r="J431" i="38"/>
  <c r="N15" i="35"/>
  <c r="K424" i="38"/>
  <c r="F30" i="38"/>
  <c r="N305" i="35"/>
  <c r="L126" i="35"/>
  <c r="E201" i="38"/>
  <c r="M335" i="35"/>
  <c r="J114" i="35"/>
  <c r="D293" i="38"/>
  <c r="F100" i="38"/>
  <c r="K432" i="38"/>
  <c r="E251" i="38"/>
  <c r="F440" i="38"/>
  <c r="D309" i="38"/>
  <c r="M222" i="35"/>
  <c r="L420" i="38"/>
  <c r="L59" i="35"/>
  <c r="E130" i="38"/>
  <c r="N345" i="35"/>
  <c r="E274" i="38"/>
  <c r="M286" i="35"/>
  <c r="N156" i="35"/>
  <c r="J7" i="37"/>
  <c r="D241" i="38"/>
  <c r="E173" i="38"/>
  <c r="L41" i="35"/>
  <c r="F109" i="38"/>
  <c r="E222" i="38"/>
  <c r="H31" i="38"/>
  <c r="N197" i="35"/>
  <c r="K15" i="37"/>
  <c r="L119" i="35"/>
  <c r="D349" i="38"/>
  <c r="D305" i="38"/>
  <c r="M308" i="35"/>
  <c r="L37" i="35"/>
  <c r="E286" i="38"/>
  <c r="F311" i="38"/>
  <c r="E422" i="38"/>
  <c r="H46" i="38"/>
  <c r="I428" i="38"/>
  <c r="D5" i="38"/>
  <c r="J338" i="35"/>
  <c r="F351" i="38"/>
  <c r="J139" i="35"/>
  <c r="E223" i="38"/>
  <c r="J30" i="35"/>
  <c r="M179" i="35"/>
  <c r="E105" i="38"/>
  <c r="P16" i="37"/>
  <c r="D183" i="38"/>
  <c r="L79" i="35"/>
  <c r="M324" i="35"/>
  <c r="J9" i="37"/>
  <c r="F390" i="38"/>
  <c r="L104" i="35"/>
  <c r="J12" i="35"/>
  <c r="N155" i="35"/>
  <c r="F172" i="38"/>
  <c r="J191" i="35"/>
  <c r="F67" i="38"/>
  <c r="J310" i="35"/>
  <c r="H49" i="38"/>
  <c r="M248" i="35"/>
  <c r="H57" i="38"/>
  <c r="E12" i="38"/>
  <c r="G2" i="38"/>
  <c r="F5" i="38"/>
  <c r="N90" i="35"/>
  <c r="N371" i="35"/>
  <c r="M155" i="35"/>
  <c r="J4" i="35"/>
  <c r="D298" i="38"/>
  <c r="F77" i="38"/>
  <c r="E96" i="38"/>
  <c r="M240" i="35"/>
  <c r="N129" i="35"/>
  <c r="N193" i="35"/>
  <c r="E250" i="38"/>
  <c r="F131" i="38"/>
  <c r="G59" i="38"/>
  <c r="G32" i="38"/>
  <c r="M392" i="35"/>
  <c r="J149" i="35"/>
  <c r="F142" i="38"/>
  <c r="E126" i="38"/>
  <c r="L27" i="35"/>
  <c r="K14" i="37"/>
  <c r="J37" i="35"/>
  <c r="F151" i="38"/>
  <c r="L38" i="35"/>
  <c r="N255" i="35"/>
  <c r="G25" i="38"/>
  <c r="K16" i="35"/>
  <c r="F363" i="38"/>
  <c r="P14" i="37"/>
  <c r="L15" i="37"/>
  <c r="J137" i="35"/>
  <c r="M352" i="35"/>
  <c r="F400" i="38"/>
  <c r="H44" i="38"/>
  <c r="M350" i="35"/>
  <c r="F78" i="38"/>
  <c r="N117" i="35"/>
  <c r="J264" i="35"/>
  <c r="K429" i="38"/>
  <c r="E296" i="38"/>
  <c r="N438" i="38"/>
  <c r="F401" i="38"/>
  <c r="E113" i="38"/>
  <c r="H40" i="38"/>
  <c r="L78" i="35"/>
  <c r="F436" i="38"/>
  <c r="N133" i="35"/>
  <c r="H42" i="38"/>
  <c r="G61" i="38"/>
  <c r="K19" i="37"/>
  <c r="K418" i="38"/>
  <c r="E427" i="38"/>
  <c r="L66" i="35"/>
  <c r="M357" i="35"/>
  <c r="G26" i="38"/>
  <c r="N439" i="38"/>
  <c r="H438" i="38"/>
  <c r="E84" i="38"/>
  <c r="D191" i="38"/>
  <c r="E193" i="38"/>
  <c r="J98" i="35"/>
  <c r="D157" i="38"/>
  <c r="N67" i="35"/>
  <c r="M70" i="35"/>
  <c r="L71" i="35"/>
  <c r="J74" i="35"/>
  <c r="N225" i="35"/>
  <c r="Q15" i="37"/>
  <c r="F57" i="38"/>
  <c r="E66" i="38"/>
  <c r="R21" i="37"/>
  <c r="F144" i="38"/>
  <c r="E119" i="38"/>
  <c r="I440" i="38"/>
  <c r="F342" i="38"/>
  <c r="M355" i="35"/>
  <c r="N59" i="35"/>
  <c r="N215" i="35"/>
  <c r="N19" i="37"/>
  <c r="M325" i="35"/>
  <c r="K28" i="35"/>
  <c r="I434" i="38"/>
  <c r="N218" i="35"/>
  <c r="F125" i="38"/>
  <c r="N431" i="38"/>
  <c r="F123" i="38"/>
  <c r="J244" i="35"/>
  <c r="M364" i="35"/>
  <c r="E135" i="38"/>
  <c r="G17" i="38"/>
  <c r="M398" i="35"/>
  <c r="N101" i="35"/>
  <c r="J269" i="35"/>
  <c r="E104" i="38"/>
  <c r="E153" i="38"/>
  <c r="F427" i="38"/>
  <c r="K6" i="37"/>
  <c r="K439" i="38"/>
  <c r="J57" i="35"/>
  <c r="F19" i="38"/>
  <c r="H66" i="38"/>
  <c r="G37" i="38"/>
  <c r="L21" i="37"/>
  <c r="E159" i="38"/>
  <c r="E142" i="38"/>
  <c r="E13" i="38"/>
  <c r="F343" i="38"/>
  <c r="E291" i="38"/>
  <c r="N143" i="35"/>
  <c r="J436" i="38"/>
  <c r="L430" i="38"/>
  <c r="F36" i="38"/>
  <c r="P19" i="37"/>
  <c r="F163" i="38"/>
  <c r="K59" i="35"/>
  <c r="M169" i="35"/>
  <c r="N23" i="35"/>
  <c r="G434" i="38"/>
  <c r="R35" i="37"/>
  <c r="I426" i="38"/>
  <c r="M418" i="38"/>
  <c r="K20" i="35"/>
  <c r="L48" i="35"/>
  <c r="F40" i="38"/>
  <c r="K47" i="35"/>
  <c r="D284" i="38"/>
  <c r="P13" i="37"/>
  <c r="E152" i="38"/>
  <c r="I422" i="38"/>
  <c r="F375" i="38"/>
  <c r="D160" i="38"/>
  <c r="M344" i="35"/>
  <c r="H55" i="38"/>
  <c r="I435" i="38"/>
  <c r="K21" i="35"/>
  <c r="L121" i="35"/>
  <c r="L436" i="38"/>
  <c r="F95" i="38"/>
  <c r="M343" i="35"/>
  <c r="P23" i="37"/>
  <c r="M437" i="38"/>
  <c r="I421" i="38"/>
  <c r="J28" i="35"/>
  <c r="N17" i="37"/>
  <c r="E203" i="38"/>
  <c r="E242" i="38"/>
  <c r="F411" i="38"/>
  <c r="K436" i="38"/>
  <c r="H20" i="38"/>
  <c r="F94" i="38"/>
  <c r="E68" i="38"/>
  <c r="K8" i="35"/>
  <c r="F66" i="38"/>
  <c r="M393" i="35"/>
  <c r="M382" i="35"/>
  <c r="L100" i="35"/>
  <c r="E56" i="38"/>
  <c r="E403" i="38"/>
  <c r="E247" i="38"/>
  <c r="K66" i="35"/>
  <c r="H35" i="38"/>
  <c r="G33" i="38"/>
  <c r="G429" i="38"/>
  <c r="J76" i="35"/>
  <c r="J321" i="35"/>
  <c r="E435" i="38"/>
  <c r="K33" i="35"/>
  <c r="F405" i="38"/>
  <c r="N282" i="35"/>
  <c r="I431" i="38"/>
  <c r="N44" i="35"/>
  <c r="F146" i="38"/>
  <c r="F43" i="38"/>
  <c r="M184" i="35"/>
  <c r="N327" i="35"/>
  <c r="D277" i="38"/>
  <c r="E411" i="38"/>
  <c r="N3" i="37"/>
  <c r="E69" i="38"/>
  <c r="E42" i="38"/>
  <c r="E140" i="38"/>
  <c r="M83" i="35"/>
  <c r="D216" i="38"/>
  <c r="E190" i="38"/>
  <c r="K5" i="35"/>
  <c r="J142" i="35"/>
  <c r="N424" i="38"/>
  <c r="F391" i="38"/>
  <c r="J249" i="35"/>
  <c r="E162" i="38"/>
  <c r="J260" i="35"/>
  <c r="F331" i="38"/>
  <c r="M5" i="37"/>
  <c r="N184" i="35"/>
  <c r="G65" i="38"/>
  <c r="E6" i="38"/>
  <c r="F393" i="38"/>
  <c r="J20" i="35"/>
  <c r="O14" i="37"/>
  <c r="F159" i="38"/>
  <c r="L55" i="35"/>
  <c r="F111" i="38"/>
  <c r="F110" i="38"/>
  <c r="E94" i="38"/>
  <c r="N61" i="35"/>
  <c r="J60" i="35"/>
  <c r="E53" i="38"/>
  <c r="K49" i="35"/>
  <c r="J3" i="37"/>
  <c r="R14" i="37"/>
  <c r="M185" i="35"/>
  <c r="M404" i="35"/>
  <c r="E163" i="38"/>
  <c r="E128" i="38"/>
  <c r="M391" i="35"/>
  <c r="N29" i="35"/>
  <c r="H419" i="38"/>
  <c r="F198" i="38"/>
  <c r="N316" i="35"/>
  <c r="L94" i="35"/>
  <c r="E191" i="38"/>
  <c r="J143" i="35"/>
  <c r="M299" i="35"/>
  <c r="K68" i="35"/>
  <c r="K58" i="35"/>
  <c r="F370" i="38"/>
  <c r="N421" i="38"/>
  <c r="K419" i="38"/>
  <c r="F348" i="38"/>
  <c r="M361" i="35"/>
  <c r="E254" i="38"/>
  <c r="E266" i="38"/>
  <c r="J224" i="35"/>
  <c r="M9" i="37"/>
  <c r="E188" i="38"/>
  <c r="J32" i="37"/>
  <c r="P9" i="37"/>
  <c r="E156" i="38"/>
  <c r="L72" i="35"/>
  <c r="F336" i="38"/>
  <c r="K65" i="35"/>
  <c r="R3" i="37"/>
  <c r="G67" i="38"/>
  <c r="H48" i="38"/>
  <c r="L2" i="35"/>
  <c r="H21" i="38"/>
  <c r="L47" i="35"/>
  <c r="E298" i="38"/>
  <c r="N375" i="35"/>
  <c r="F303" i="38"/>
  <c r="H418" i="38"/>
  <c r="M317" i="35"/>
  <c r="J19" i="35"/>
  <c r="J433" i="38"/>
  <c r="L88" i="35"/>
  <c r="M94" i="35"/>
  <c r="E107" i="38"/>
  <c r="F84" i="38"/>
  <c r="E409" i="38"/>
  <c r="E272" i="38"/>
  <c r="R5" i="37"/>
  <c r="E20" i="38"/>
  <c r="M388" i="35"/>
  <c r="E186" i="38"/>
  <c r="N367" i="35"/>
  <c r="H37" i="38"/>
  <c r="L60" i="35"/>
  <c r="M346" i="35"/>
  <c r="L25" i="35"/>
  <c r="L431" i="38"/>
  <c r="L439" i="38"/>
  <c r="J300" i="35"/>
  <c r="L95" i="35"/>
  <c r="L51" i="35"/>
  <c r="J64" i="35"/>
  <c r="H54" i="38"/>
  <c r="F75" i="38"/>
  <c r="M394" i="35"/>
  <c r="F341" i="38"/>
  <c r="M342" i="35"/>
  <c r="M434" i="38"/>
  <c r="K11" i="37"/>
  <c r="H68" i="38"/>
  <c r="F135" i="38"/>
  <c r="M30" i="35"/>
  <c r="G16" i="38"/>
  <c r="J435" i="38"/>
  <c r="E441" i="38"/>
  <c r="S15" i="37"/>
  <c r="J136" i="35"/>
  <c r="L74" i="35"/>
  <c r="F85" i="38"/>
  <c r="J215" i="35"/>
  <c r="E220" i="38"/>
  <c r="E401" i="38"/>
  <c r="N441" i="38"/>
  <c r="N157" i="35"/>
  <c r="P11" i="37"/>
  <c r="E259" i="38"/>
  <c r="F404" i="38"/>
  <c r="N78" i="35"/>
  <c r="M69" i="35"/>
  <c r="N48" i="35"/>
  <c r="D192" i="38"/>
  <c r="J297" i="35"/>
  <c r="D330" i="38"/>
  <c r="M29" i="35"/>
  <c r="E180" i="38"/>
  <c r="N291" i="35"/>
  <c r="D209" i="38"/>
  <c r="L56" i="35"/>
  <c r="L40" i="35"/>
  <c r="M28" i="35"/>
  <c r="G13" i="38"/>
  <c r="M279" i="35"/>
  <c r="E64" i="38"/>
  <c r="K430" i="38"/>
  <c r="L46" i="35"/>
  <c r="M3" i="37"/>
  <c r="M157" i="35"/>
  <c r="M209" i="35"/>
  <c r="M226" i="35"/>
  <c r="F148" i="38"/>
  <c r="M379" i="35"/>
  <c r="E228" i="38"/>
  <c r="E175" i="38"/>
  <c r="E50" i="38"/>
  <c r="E48" i="38"/>
  <c r="L89" i="35"/>
  <c r="F28" i="38"/>
  <c r="E253" i="38"/>
  <c r="N258" i="35"/>
  <c r="J262" i="35"/>
  <c r="E215" i="38"/>
  <c r="J40" i="35"/>
  <c r="L426" i="38"/>
  <c r="M436" i="38"/>
  <c r="F437" i="38"/>
  <c r="L14" i="37"/>
  <c r="F102" i="38"/>
  <c r="E85" i="38"/>
  <c r="F364" i="38"/>
  <c r="E183" i="38"/>
  <c r="K55" i="35"/>
  <c r="G428" i="38"/>
  <c r="I419" i="38"/>
  <c r="M192" i="35"/>
  <c r="K23" i="35"/>
  <c r="D329" i="38"/>
  <c r="I439" i="38"/>
  <c r="E22" i="38"/>
  <c r="F183" i="38"/>
  <c r="E88" i="38"/>
  <c r="G420" i="38"/>
  <c r="F430" i="38"/>
  <c r="J65" i="35"/>
  <c r="N11" i="35"/>
  <c r="I425" i="38"/>
  <c r="J332" i="35"/>
  <c r="J246" i="35"/>
  <c r="N106" i="35"/>
  <c r="F37" i="38"/>
  <c r="E178" i="38"/>
  <c r="K25" i="35"/>
  <c r="D202" i="38"/>
  <c r="N2" i="35"/>
  <c r="F119" i="38"/>
  <c r="F380" i="38"/>
  <c r="J30" i="37"/>
  <c r="E434" i="38"/>
  <c r="J138" i="35"/>
  <c r="E108" i="38"/>
  <c r="E235" i="38"/>
  <c r="D264" i="38"/>
  <c r="J161" i="35"/>
  <c r="J15" i="37"/>
  <c r="D236" i="38"/>
  <c r="H440" i="38"/>
  <c r="N17" i="35"/>
  <c r="N214" i="35"/>
  <c r="L128" i="35"/>
  <c r="L117" i="35"/>
  <c r="N147" i="35"/>
  <c r="H9" i="38"/>
  <c r="E54" i="38"/>
  <c r="E281" i="38"/>
  <c r="F419" i="38"/>
  <c r="F184" i="38"/>
  <c r="F80" i="38"/>
  <c r="F24" i="38"/>
  <c r="M370" i="35"/>
  <c r="K17" i="37"/>
  <c r="L19" i="37"/>
  <c r="D178" i="38"/>
  <c r="F359" i="38"/>
  <c r="M16" i="37"/>
  <c r="F385" i="38"/>
  <c r="H3" i="38"/>
  <c r="F193" i="38"/>
  <c r="E263" i="38"/>
  <c r="D278" i="38"/>
  <c r="E63" i="38"/>
  <c r="L63" i="35"/>
  <c r="H6" i="38"/>
  <c r="E161" i="38"/>
  <c r="N440" i="38"/>
  <c r="G433" i="38"/>
  <c r="L84" i="35"/>
  <c r="L87" i="35"/>
  <c r="F7" i="38"/>
  <c r="F9" i="38"/>
  <c r="K421" i="38"/>
  <c r="J28" i="37"/>
  <c r="E255" i="38"/>
  <c r="J9" i="35"/>
  <c r="E200" i="38"/>
  <c r="J112" i="35"/>
  <c r="J292" i="35"/>
  <c r="L3" i="37"/>
  <c r="N433" i="38"/>
  <c r="N64" i="35"/>
  <c r="E74" i="38"/>
  <c r="K427" i="38"/>
  <c r="L424" i="38"/>
  <c r="D308" i="38"/>
  <c r="N295" i="35"/>
  <c r="G431" i="38"/>
  <c r="H51" i="38"/>
  <c r="N399" i="35"/>
  <c r="M293" i="35"/>
  <c r="E294" i="38"/>
  <c r="G427" i="38"/>
  <c r="M274" i="35"/>
  <c r="E213" i="38"/>
  <c r="F381" i="38"/>
  <c r="G441" i="38"/>
  <c r="L42" i="35"/>
  <c r="F177" i="38"/>
  <c r="E257" i="38"/>
  <c r="L109" i="35"/>
  <c r="J29" i="35"/>
  <c r="M26" i="35"/>
  <c r="H4" i="38"/>
  <c r="M320" i="35"/>
  <c r="M384" i="35"/>
  <c r="L52" i="35"/>
  <c r="Q19" i="37"/>
  <c r="L120" i="35"/>
  <c r="F180" i="38"/>
  <c r="E46" i="38"/>
  <c r="G52" i="38"/>
  <c r="J253" i="35"/>
  <c r="K37" i="35"/>
  <c r="G440" i="38"/>
  <c r="N69" i="35"/>
  <c r="F145" i="38"/>
  <c r="F377" i="38"/>
  <c r="N110" i="35"/>
  <c r="J327" i="35"/>
  <c r="J220" i="35"/>
  <c r="D336" i="38"/>
  <c r="F356" i="38"/>
  <c r="I427" i="38"/>
  <c r="N237" i="35"/>
  <c r="E241" i="38"/>
  <c r="J26" i="35"/>
  <c r="F150" i="38"/>
  <c r="J22" i="35"/>
  <c r="L32" i="35"/>
  <c r="M64" i="35"/>
  <c r="S16" i="37"/>
  <c r="F16" i="38"/>
  <c r="H50" i="38"/>
  <c r="M310" i="35"/>
  <c r="R23" i="37"/>
  <c r="E23" i="38"/>
  <c r="S21" i="37"/>
  <c r="E8" i="38"/>
  <c r="L7" i="35"/>
  <c r="M254" i="35"/>
  <c r="F62" i="38"/>
  <c r="N429" i="38"/>
  <c r="F143" i="38"/>
  <c r="K21" i="37"/>
  <c r="L130" i="35"/>
  <c r="F88" i="38"/>
  <c r="D219" i="38"/>
  <c r="E76" i="38"/>
  <c r="E4" i="38"/>
  <c r="E26" i="38"/>
  <c r="N23" i="37"/>
  <c r="F337" i="38"/>
  <c r="H420" i="38"/>
  <c r="F68" i="38"/>
  <c r="H64" i="38"/>
  <c r="M390" i="35"/>
  <c r="E37" i="38"/>
  <c r="L28" i="35"/>
  <c r="E431" i="38"/>
  <c r="H435" i="38"/>
  <c r="J118" i="35"/>
  <c r="M109" i="35"/>
  <c r="J437" i="38"/>
  <c r="L419" i="38"/>
  <c r="F301" i="38"/>
  <c r="F155" i="38"/>
  <c r="I423" i="38"/>
  <c r="G14" i="38"/>
  <c r="F307" i="38"/>
  <c r="H8" i="38"/>
  <c r="M397" i="35"/>
  <c r="N406" i="35"/>
  <c r="E102" i="38"/>
  <c r="E19" i="38"/>
  <c r="D8" i="38"/>
  <c r="E260" i="38"/>
  <c r="E14" i="38"/>
  <c r="J94" i="35"/>
  <c r="J50" i="35"/>
  <c r="J200" i="35"/>
  <c r="M115" i="35"/>
  <c r="G8" i="38"/>
  <c r="N287" i="35"/>
  <c r="J13" i="37"/>
  <c r="M422" i="38"/>
  <c r="N185" i="35"/>
  <c r="L68" i="35"/>
  <c r="I420" i="38"/>
  <c r="J45" i="35"/>
  <c r="F368" i="38"/>
  <c r="E101" i="38"/>
  <c r="F174" i="38"/>
  <c r="N348" i="35"/>
  <c r="E264" i="38"/>
  <c r="M428" i="38"/>
  <c r="J243" i="35"/>
  <c r="E33" i="38"/>
  <c r="D275" i="38"/>
  <c r="N242" i="35"/>
  <c r="E410" i="38"/>
  <c r="M17" i="37"/>
  <c r="H53" i="38"/>
  <c r="N288" i="35"/>
  <c r="S6" i="37"/>
  <c r="M43" i="35"/>
  <c r="D218" i="38"/>
  <c r="K64" i="35"/>
  <c r="J318" i="35"/>
  <c r="N222" i="35"/>
  <c r="E10" i="38"/>
  <c r="H52" i="38"/>
  <c r="D181" i="38"/>
  <c r="L12" i="35"/>
  <c r="M435" i="38"/>
  <c r="F308" i="38"/>
  <c r="E151" i="38"/>
  <c r="L131" i="35"/>
  <c r="L29" i="35"/>
  <c r="M258" i="35"/>
  <c r="E265" i="38"/>
  <c r="J35" i="35"/>
  <c r="J203" i="35"/>
  <c r="K26" i="35"/>
  <c r="J10" i="35"/>
  <c r="J425" i="38"/>
  <c r="E2" i="38"/>
  <c r="M90" i="35"/>
  <c r="N31" i="35"/>
  <c r="E269" i="38"/>
  <c r="F23" i="38"/>
  <c r="N304" i="35"/>
  <c r="E433" i="38"/>
  <c r="F71" i="38"/>
  <c r="M387" i="35"/>
  <c r="J423" i="38"/>
  <c r="S3" i="37"/>
  <c r="L16" i="37"/>
  <c r="N309" i="35"/>
  <c r="M59" i="35"/>
  <c r="F76" i="38"/>
  <c r="J429" i="38"/>
  <c r="E420" i="38"/>
  <c r="F74" i="38"/>
  <c r="Q11" i="37"/>
  <c r="F313" i="38"/>
  <c r="F6" i="38"/>
  <c r="F42" i="38"/>
  <c r="E270" i="38"/>
  <c r="E168" i="38"/>
  <c r="F65" i="38"/>
  <c r="J187" i="35"/>
  <c r="J194" i="35"/>
  <c r="P15" i="37"/>
  <c r="L99" i="35"/>
  <c r="L434" i="38"/>
  <c r="O6" i="37"/>
  <c r="R19" i="37"/>
  <c r="N71" i="35"/>
  <c r="F54" i="38"/>
  <c r="K440" i="38"/>
  <c r="F158" i="38"/>
  <c r="F199" i="38"/>
  <c r="L24" i="35"/>
  <c r="E202" i="38"/>
  <c r="N55" i="35"/>
  <c r="M116" i="35"/>
  <c r="D139" i="38"/>
  <c r="G42" i="38"/>
  <c r="D324" i="38"/>
  <c r="F59" i="38"/>
  <c r="N91" i="35"/>
  <c r="E7" i="38"/>
  <c r="M11" i="37"/>
  <c r="M366" i="35"/>
  <c r="L3" i="35"/>
  <c r="L10" i="37"/>
  <c r="K57" i="35"/>
  <c r="H62" i="38"/>
  <c r="M243" i="35"/>
  <c r="M420" i="38"/>
  <c r="H417" i="38"/>
  <c r="J164" i="35"/>
  <c r="F120" i="38"/>
  <c r="E221" i="38"/>
  <c r="E100" i="38"/>
  <c r="F373" i="38"/>
  <c r="F395" i="38"/>
  <c r="J302" i="35"/>
  <c r="K24" i="35"/>
  <c r="J199" i="35"/>
  <c r="J441" i="38"/>
  <c r="N57" i="35"/>
  <c r="Q13" i="37"/>
  <c r="F8" i="38"/>
  <c r="F44" i="38"/>
  <c r="O11" i="37"/>
  <c r="E413" i="38"/>
  <c r="L422" i="38"/>
  <c r="L425" i="38"/>
  <c r="F196" i="38"/>
  <c r="F175" i="38"/>
  <c r="E80" i="38"/>
  <c r="F162" i="38"/>
  <c r="E40" i="38"/>
  <c r="J26" i="37"/>
  <c r="F20" i="38"/>
  <c r="M372" i="35"/>
  <c r="E280" i="38"/>
  <c r="H25" i="38"/>
  <c r="M302" i="35"/>
  <c r="K3" i="35"/>
  <c r="J33" i="35"/>
  <c r="F72" i="38"/>
  <c r="D325" i="38"/>
  <c r="E134" i="38"/>
  <c r="H437" i="38"/>
  <c r="E148" i="38"/>
  <c r="M178" i="35"/>
  <c r="M141" i="35"/>
  <c r="N318" i="35"/>
  <c r="J140" i="35"/>
  <c r="L6" i="35"/>
  <c r="J211" i="35"/>
  <c r="K35" i="37"/>
  <c r="L9" i="37"/>
  <c r="F309" i="38"/>
  <c r="G64" i="38"/>
  <c r="J47" i="35"/>
  <c r="L8" i="35"/>
  <c r="J27" i="37"/>
  <c r="L427" i="38"/>
  <c r="D154" i="38"/>
  <c r="E425" i="38"/>
  <c r="N389" i="35"/>
  <c r="F338" i="38"/>
  <c r="D2" i="38"/>
  <c r="N404" i="35"/>
  <c r="F374" i="38"/>
  <c r="H58" i="38"/>
  <c r="K53" i="35"/>
  <c r="M12" i="35"/>
  <c r="M345" i="35"/>
  <c r="I432" i="38"/>
  <c r="K7" i="35"/>
  <c r="J168" i="35"/>
  <c r="E57" i="38"/>
  <c r="K14" i="35"/>
  <c r="E95" i="38"/>
  <c r="M235" i="35"/>
  <c r="D311" i="38"/>
  <c r="D276" i="38"/>
  <c r="F424" i="38"/>
  <c r="L17" i="37"/>
  <c r="E61" i="38"/>
  <c r="E41" i="38"/>
  <c r="F122" i="38"/>
  <c r="F156" i="38"/>
  <c r="F302" i="38"/>
  <c r="E261" i="38"/>
  <c r="E36" i="38"/>
  <c r="E249" i="38"/>
  <c r="J146" i="35"/>
  <c r="F314" i="38"/>
  <c r="K11" i="35"/>
  <c r="M424" i="38"/>
  <c r="F189" i="38"/>
  <c r="G49" i="38"/>
  <c r="N277" i="35"/>
  <c r="Q35" i="37"/>
  <c r="F56" i="38"/>
  <c r="R9" i="37"/>
  <c r="M264" i="35"/>
  <c r="L437" i="38"/>
  <c r="M39" i="35"/>
  <c r="J23" i="37"/>
  <c r="K48" i="35"/>
  <c r="N140" i="35"/>
  <c r="F433" i="38"/>
  <c r="J21" i="37"/>
  <c r="F29" i="38"/>
  <c r="J156" i="35"/>
  <c r="L82" i="35"/>
  <c r="H16" i="38"/>
  <c r="H428" i="38"/>
  <c r="M441" i="38"/>
  <c r="N419" i="38"/>
  <c r="F367" i="38"/>
  <c r="M204" i="35"/>
  <c r="R17" i="37"/>
  <c r="G18" i="38"/>
  <c r="P17" i="37"/>
  <c r="K67" i="35"/>
  <c r="L9" i="35"/>
  <c r="K32" i="35"/>
  <c r="E72" i="38"/>
  <c r="K425" i="38"/>
  <c r="N260" i="35"/>
  <c r="E114" i="38"/>
  <c r="E233" i="38"/>
  <c r="F101" i="38"/>
  <c r="S5" i="37"/>
  <c r="I424" i="38"/>
  <c r="J276" i="35"/>
  <c r="F305" i="38"/>
  <c r="N115" i="35"/>
  <c r="L20" i="35"/>
  <c r="J36" i="35"/>
  <c r="N422" i="38"/>
  <c r="S23" i="37"/>
  <c r="G10" i="38"/>
  <c r="N6" i="35"/>
  <c r="J424" i="38"/>
  <c r="E428" i="38"/>
  <c r="F99" i="38"/>
  <c r="F166" i="38"/>
  <c r="E79" i="38"/>
  <c r="E112" i="38"/>
  <c r="N300" i="35"/>
  <c r="E43" i="38"/>
  <c r="M301" i="35"/>
  <c r="F32" i="38"/>
  <c r="S14" i="37"/>
  <c r="J428" i="38"/>
  <c r="F410" i="38"/>
  <c r="G418" i="38"/>
  <c r="K434" i="38"/>
  <c r="E205" i="38"/>
  <c r="M97" i="35"/>
  <c r="M51" i="35"/>
  <c r="F10" i="38"/>
  <c r="E147" i="38"/>
  <c r="Q9" i="37"/>
  <c r="L101" i="35"/>
  <c r="F14" i="38"/>
  <c r="L26" i="35"/>
  <c r="M277" i="35"/>
  <c r="F190" i="38"/>
  <c r="M332" i="35"/>
  <c r="L36" i="35"/>
  <c r="N216" i="35"/>
  <c r="F389" i="38"/>
  <c r="D152" i="38"/>
  <c r="N434" i="38"/>
  <c r="J312" i="35"/>
  <c r="N253" i="35"/>
  <c r="J13" i="35"/>
  <c r="J167" i="35"/>
  <c r="E45" i="38"/>
  <c r="S35" i="37"/>
  <c r="O15" i="37"/>
  <c r="L58" i="35"/>
  <c r="J62" i="35"/>
  <c r="E299" i="38"/>
  <c r="G43" i="38"/>
  <c r="N35" i="37"/>
  <c r="M385" i="35"/>
  <c r="E97" i="38"/>
  <c r="L16" i="35"/>
  <c r="E189" i="38"/>
  <c r="H38" i="38"/>
  <c r="G38" i="38"/>
  <c r="K39" i="35"/>
  <c r="G425" i="38"/>
  <c r="L110" i="35"/>
  <c r="E9" i="38"/>
  <c r="G432" i="38"/>
  <c r="E224" i="38"/>
  <c r="F12" i="38"/>
  <c r="H36" i="38"/>
  <c r="F104" i="38"/>
  <c r="F362" i="38"/>
  <c r="D224" i="38"/>
  <c r="F195" i="38"/>
  <c r="G41" i="38"/>
  <c r="E70" i="38"/>
  <c r="G430" i="38"/>
  <c r="Q23" i="37"/>
  <c r="K45" i="35"/>
  <c r="E62" i="38"/>
  <c r="S19" i="37"/>
  <c r="N317" i="35"/>
  <c r="J10" i="37"/>
  <c r="E143" i="38"/>
  <c r="M4" i="35"/>
  <c r="E139" i="38"/>
  <c r="L70" i="35"/>
  <c r="E429" i="38"/>
  <c r="J42" i="35"/>
  <c r="M396" i="35"/>
  <c r="F132" i="38"/>
  <c r="G5" i="38"/>
  <c r="E3" i="38"/>
  <c r="E31" i="38"/>
  <c r="E415" i="38"/>
  <c r="F402" i="38"/>
  <c r="E419" i="38"/>
  <c r="M208" i="35"/>
  <c r="L35" i="35"/>
  <c r="K423" i="38"/>
  <c r="H15" i="38"/>
  <c r="F408" i="38"/>
  <c r="M356" i="35"/>
  <c r="E439" i="38"/>
  <c r="M360" i="35"/>
  <c r="O21" i="37"/>
  <c r="L132" i="35"/>
  <c r="H423" i="38"/>
  <c r="K10" i="37"/>
  <c r="J438" i="38"/>
  <c r="H426" i="38"/>
  <c r="M380" i="35"/>
  <c r="E141" i="38"/>
  <c r="N58" i="35"/>
  <c r="K63" i="35"/>
  <c r="E290" i="38"/>
  <c r="M389" i="35"/>
  <c r="D159" i="38"/>
  <c r="E252" i="38"/>
  <c r="E86" i="38"/>
  <c r="H12" i="38"/>
  <c r="F194" i="38"/>
  <c r="H430" i="38"/>
  <c r="E144" i="38"/>
  <c r="D233" i="38"/>
  <c r="N171" i="35"/>
  <c r="F103" i="38"/>
  <c r="N339" i="35"/>
  <c r="M186" i="35"/>
  <c r="M311" i="35"/>
  <c r="J251" i="35"/>
  <c r="H2" i="38"/>
  <c r="L417" i="38"/>
  <c r="E174" i="38"/>
  <c r="N5" i="37"/>
  <c r="D299" i="38"/>
  <c r="L418" i="38"/>
  <c r="M53" i="35"/>
  <c r="H56" i="38"/>
  <c r="F388" i="38"/>
  <c r="K3" i="37"/>
  <c r="F139" i="38"/>
  <c r="D13" i="38"/>
  <c r="F333" i="38"/>
  <c r="N15" i="37"/>
  <c r="Q10" i="37"/>
  <c r="E232" i="38"/>
  <c r="N252" i="35"/>
  <c r="L4" i="35"/>
  <c r="N425" i="38"/>
  <c r="M175" i="35"/>
  <c r="K437" i="38"/>
  <c r="N430" i="38"/>
  <c r="L43" i="35"/>
  <c r="H431" i="38"/>
  <c r="L106" i="35"/>
  <c r="L122" i="35"/>
  <c r="L6" i="37"/>
  <c r="F431" i="38"/>
  <c r="F316" i="38"/>
  <c r="D169" i="38"/>
  <c r="E89" i="38"/>
  <c r="G68" i="38"/>
  <c r="L81" i="35"/>
  <c r="L111" i="35"/>
  <c r="L31" i="35"/>
  <c r="L116" i="35"/>
  <c r="M75" i="35"/>
  <c r="E438" i="38"/>
  <c r="F69" i="38"/>
  <c r="G36" i="38"/>
  <c r="F113" i="38"/>
  <c r="H432" i="38"/>
  <c r="N251" i="35"/>
  <c r="M24" i="35"/>
  <c r="L113" i="35"/>
  <c r="J170" i="35"/>
  <c r="E209" i="38"/>
  <c r="Q7" i="37"/>
  <c r="F428" i="38"/>
  <c r="E404" i="38"/>
  <c r="H60" i="38"/>
  <c r="J33" i="37"/>
  <c r="D337" i="38"/>
  <c r="G417" i="38"/>
  <c r="J184" i="35"/>
  <c r="E117" i="38"/>
  <c r="E59" i="38"/>
  <c r="M249" i="35"/>
  <c r="G34" i="38"/>
  <c r="J52" i="35"/>
  <c r="E55" i="38"/>
  <c r="E288" i="38"/>
  <c r="M433" i="38"/>
  <c r="M19" i="37"/>
  <c r="F399" i="38"/>
  <c r="F87" i="38"/>
  <c r="G11" i="38"/>
  <c r="H429" i="38"/>
  <c r="F372" i="38"/>
  <c r="J305" i="35"/>
  <c r="E432" i="38"/>
  <c r="N418" i="38"/>
  <c r="J421" i="38"/>
  <c r="E285" i="38"/>
  <c r="R11" i="37"/>
  <c r="M108" i="35"/>
  <c r="G35" i="38"/>
  <c r="N182" i="35"/>
  <c r="E181" i="38"/>
  <c r="O35" i="37"/>
  <c r="N256" i="35"/>
  <c r="G15" i="38"/>
  <c r="L129" i="35"/>
  <c r="K54" i="35"/>
  <c r="J171" i="35"/>
  <c r="E149" i="38"/>
  <c r="M6" i="37"/>
  <c r="F369" i="38"/>
  <c r="F48" i="38"/>
  <c r="J417" i="38"/>
  <c r="K35" i="35"/>
  <c r="N233" i="35"/>
  <c r="E229" i="38"/>
  <c r="E197" i="38"/>
  <c r="E243" i="38"/>
  <c r="H11" i="38"/>
  <c r="J197" i="35"/>
  <c r="L435" i="38"/>
  <c r="F97" i="38"/>
  <c r="F324" i="38"/>
  <c r="D260" i="38"/>
  <c r="E81" i="38"/>
  <c r="Q6" i="37"/>
  <c r="K435" i="38"/>
  <c r="M181" i="35"/>
  <c r="F327" i="38"/>
  <c r="M180" i="35"/>
  <c r="H63" i="38"/>
  <c r="E155" i="38"/>
  <c r="G39" i="38"/>
  <c r="D229" i="38"/>
  <c r="L64" i="35"/>
  <c r="N21" i="35"/>
  <c r="H29" i="38"/>
  <c r="F105" i="38"/>
  <c r="E227" i="38"/>
  <c r="J3" i="35"/>
  <c r="F413" i="38"/>
  <c r="F124" i="38"/>
  <c r="E5" i="38"/>
  <c r="M421" i="38"/>
  <c r="F383" i="38"/>
  <c r="G30" i="38"/>
  <c r="N25" i="35"/>
  <c r="E160" i="38"/>
  <c r="L423" i="38"/>
  <c r="K44" i="35"/>
  <c r="G48" i="38"/>
  <c r="F45" i="38"/>
  <c r="G438" i="38"/>
  <c r="Q16" i="37"/>
  <c r="L65" i="35"/>
  <c r="R16" i="37"/>
  <c r="M309" i="35"/>
  <c r="G51" i="38"/>
  <c r="F432" i="38"/>
  <c r="L77" i="35"/>
  <c r="F345" i="38"/>
  <c r="M354" i="35"/>
  <c r="J16" i="37"/>
  <c r="F328" i="38"/>
  <c r="E136" i="38"/>
  <c r="M359" i="35"/>
  <c r="L91" i="35"/>
  <c r="F133" i="38"/>
  <c r="J266" i="35"/>
  <c r="D185" i="38"/>
  <c r="F379" i="38"/>
  <c r="I437" i="38"/>
  <c r="F39" i="38"/>
  <c r="K50" i="35"/>
  <c r="M21" i="37"/>
  <c r="F382" i="38"/>
  <c r="E216" i="38"/>
  <c r="J157" i="35"/>
  <c r="L13" i="37"/>
  <c r="G21" i="38"/>
  <c r="F188" i="38"/>
  <c r="M236" i="35"/>
  <c r="F349" i="38"/>
  <c r="G46" i="38"/>
  <c r="L14" i="35"/>
  <c r="F149" i="38"/>
  <c r="J439" i="38"/>
  <c r="O17" i="37"/>
  <c r="F89" i="38"/>
  <c r="E277" i="38"/>
  <c r="N351" i="35"/>
  <c r="J34" i="35"/>
  <c r="F394" i="38"/>
  <c r="F409" i="38"/>
  <c r="F60" i="38"/>
  <c r="N249" i="35"/>
  <c r="K40" i="35"/>
  <c r="F340" i="38"/>
  <c r="E75" i="38"/>
  <c r="M138" i="35"/>
  <c r="M408" i="35"/>
  <c r="P21" i="37"/>
  <c r="N202" i="35"/>
  <c r="E218" i="38"/>
  <c r="G9" i="38"/>
  <c r="E109" i="38"/>
  <c r="L115" i="35"/>
  <c r="L18" i="35"/>
  <c r="L49" i="35"/>
  <c r="F51" i="38"/>
  <c r="E103" i="38"/>
  <c r="F168" i="38"/>
  <c r="F153" i="38"/>
  <c r="J38" i="35"/>
  <c r="O16" i="37"/>
  <c r="K41" i="35"/>
  <c r="K27" i="35"/>
  <c r="S13" i="37"/>
  <c r="F187" i="38"/>
  <c r="P10" i="37"/>
  <c r="N374" i="35"/>
  <c r="L96" i="35"/>
  <c r="M85" i="35"/>
  <c r="F317" i="38"/>
  <c r="D163" i="38"/>
  <c r="M67" i="35"/>
  <c r="E426" i="38"/>
  <c r="N245" i="35"/>
  <c r="F167" i="38"/>
  <c r="J80" i="35"/>
  <c r="F439" i="38"/>
  <c r="J291" i="35"/>
  <c r="M276" i="35"/>
  <c r="M250" i="35"/>
  <c r="D252" i="38"/>
  <c r="G45" i="38"/>
  <c r="E199" i="38"/>
  <c r="H14" i="38"/>
  <c r="D167" i="38"/>
  <c r="F34" i="38"/>
  <c r="M145" i="35"/>
  <c r="E171" i="38"/>
  <c r="M10" i="37"/>
  <c r="F121" i="38"/>
  <c r="D255" i="38"/>
  <c r="F154" i="38"/>
  <c r="F46" i="38"/>
  <c r="H41" i="38"/>
  <c r="N248" i="35"/>
  <c r="F335" i="38"/>
  <c r="G60" i="38"/>
  <c r="M263" i="35"/>
  <c r="D287" i="38"/>
  <c r="S9" i="37"/>
  <c r="F64" i="38"/>
  <c r="J5" i="37"/>
  <c r="F53" i="38"/>
  <c r="J315" i="35"/>
  <c r="O5" i="37"/>
  <c r="H67" i="38"/>
  <c r="N16" i="37"/>
  <c r="E194" i="38"/>
  <c r="G54" i="38"/>
  <c r="I430" i="38"/>
  <c r="F127" i="38"/>
  <c r="P7" i="37"/>
  <c r="N186" i="35"/>
  <c r="M363" i="35"/>
  <c r="D223" i="38"/>
  <c r="H427" i="38"/>
  <c r="J34" i="37"/>
  <c r="Q14" i="37"/>
  <c r="M386" i="35"/>
  <c r="F347" i="38"/>
  <c r="L35" i="37"/>
  <c r="F346" i="38"/>
  <c r="F415" i="38"/>
  <c r="E295" i="38"/>
  <c r="F181" i="38"/>
  <c r="J207" i="35"/>
  <c r="M403" i="35"/>
  <c r="J27" i="35"/>
  <c r="J24" i="35"/>
  <c r="F352" i="38"/>
  <c r="E244" i="38"/>
  <c r="L33" i="35"/>
  <c r="K7" i="37"/>
  <c r="E82" i="38"/>
  <c r="H34" i="38"/>
  <c r="M86" i="35"/>
  <c r="E196" i="38"/>
  <c r="J6" i="35"/>
  <c r="F387"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<sst xmlns="http://schemas.openxmlformats.org/spreadsheetml/2006/main" count="4798" uniqueCount="3083">
  <si>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</si>
  <si>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</si>
  <si>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</si>
  <si>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</si>
  <si>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</si>
  <si>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</si>
  <si>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</si>
  <si>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</si>
  <si>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</si>
  <si>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</si>
  <si>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</si>
  <si>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</si>
  <si>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</si>
  <si>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</si>
  <si>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</si>
  <si>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</si>
  <si>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</si>
  <si>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</si>
  <si>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</si>
  <si>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</si>
  <si>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</si>
  <si>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</si>
  <si>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</si>
  <si>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</si>
  <si>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</si>
  <si>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</si>
  <si>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</si>
  <si>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</si>
  <si>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</si>
  <si>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</si>
  <si>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</si>
  <si>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</si>
  <si>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</si>
  <si>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</si>
  <si>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</si>
  <si>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</si>
  <si>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</si>
  <si>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</si>
  <si>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</si>
  <si>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</si>
  <si>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</si>
  <si>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</si>
  <si>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</si>
  <si>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</si>
  <si>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</si>
  <si>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</si>
  <si>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</si>
  <si>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</si>
  <si>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</si>
  <si>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</si>
  <si>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</si>
  <si>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</si>
  <si>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</si>
  <si>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</si>
  <si>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</si>
  <si>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</si>
  <si>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</si>
  <si>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</si>
  <si>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</si>
  <si>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</si>
  <si>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</si>
  <si>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</si>
  <si>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</si>
  <si>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</si>
  <si>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</si>
  <si>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</si>
  <si>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</si>
  <si>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</si>
  <si>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</si>
  <si>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</si>
  <si>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</si>
  <si>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</si>
  <si>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</si>
  <si>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</si>
  <si>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</si>
  <si>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</si>
  <si>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</si>
  <si>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</si>
  <si>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</si>
  <si>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</si>
  <si>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</si>
  <si>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</si>
  <si>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</si>
  <si>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</si>
  <si>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</si>
  <si>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</si>
  <si>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</si>
  <si>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</si>
  <si>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</si>
  <si>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</si>
  <si>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</si>
  <si>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</si>
  <si>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</si>
  <si>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</si>
  <si>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</si>
  <si>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</si>
  <si>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</si>
  <si>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</si>
  <si>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</si>
  <si>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</si>
  <si>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</si>
  <si>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</si>
  <si>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</si>
  <si>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</si>
  <si>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</si>
  <si>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</si>
  <si>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</si>
  <si>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</si>
  <si>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</si>
  <si>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</si>
  <si>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</si>
  <si>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</si>
  <si>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</si>
  <si>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</si>
  <si>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</si>
  <si>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</si>
  <si>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</si>
  <si>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</si>
  <si>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</si>
  <si>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</si>
  <si>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</si>
  <si>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</si>
  <si>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</si>
  <si>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</si>
  <si>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</si>
  <si>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</si>
  <si>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</si>
  <si>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</si>
  <si>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</si>
  <si>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</si>
  <si>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</si>
  <si>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</si>
  <si>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</si>
  <si>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</si>
  <si>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</si>
  <si>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</si>
  <si>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</si>
  <si>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</si>
  <si>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</si>
  <si>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</si>
  <si>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</si>
  <si>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</si>
  <si>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</si>
  <si>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</si>
  <si>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</si>
  <si>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</si>
  <si>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</si>
  <si>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</si>
  <si>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</si>
  <si>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</si>
  <si>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</si>
  <si>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</si>
  <si>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</si>
  <si>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</si>
  <si>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</si>
  <si>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</si>
  <si>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</si>
  <si>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</si>
  <si>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</si>
  <si>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</si>
  <si>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</si>
  <si>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</si>
  <si>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</si>
  <si>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</si>
  <si>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</si>
  <si>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</si>
  <si>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</si>
  <si>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</si>
  <si>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</si>
  <si>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</si>
  <si>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</si>
  <si>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</si>
  <si>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</si>
  <si>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</si>
  <si>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</si>
  <si>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</si>
  <si>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</si>
  <si>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</si>
  <si>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</si>
  <si>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</si>
  <si>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</si>
  <si>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</si>
  <si>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</si>
  <si>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</si>
  <si>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</si>
  <si>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</si>
  <si>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</si>
  <si>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</si>
  <si>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</si>
  <si>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</si>
  <si>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</si>
  <si>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</si>
  <si>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</si>
  <si>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</si>
  <si>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</si>
  <si>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</si>
  <si>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</si>
  <si>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</si>
  <si>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</si>
  <si>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</si>
  <si>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</si>
  <si>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</si>
  <si>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</si>
  <si>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</si>
  <si>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</si>
  <si>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</si>
  <si>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</si>
  <si>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</si>
  <si>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</si>
  <si>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</si>
  <si>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</si>
  <si>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</si>
  <si>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</si>
  <si>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</si>
  <si>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</si>
  <si>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</si>
  <si>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</si>
  <si>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</si>
  <si>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</si>
  <si>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</si>
  <si>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</si>
  <si>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</si>
  <si>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</si>
  <si>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</si>
  <si>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</si>
  <si>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</si>
  <si>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</si>
  <si>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</si>
  <si>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</si>
  <si>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</si>
  <si>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</si>
  <si>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</si>
  <si>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</si>
  <si>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</si>
  <si>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</si>
  <si>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</si>
  <si>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</si>
  <si>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</si>
  <si>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</si>
  <si>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</si>
  <si>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</si>
  <si>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</si>
  <si>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</si>
  <si>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</si>
  <si>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</si>
  <si>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</si>
  <si>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</si>
  <si>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</si>
  <si>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</si>
  <si>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</si>
  <si>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</si>
  <si>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</si>
  <si>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</si>
  <si>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</si>
  <si>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</si>
  <si>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</si>
  <si>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</si>
  <si>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</si>
  <si>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</si>
  <si>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</si>
  <si>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</si>
  <si>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</si>
  <si>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</si>
  <si>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</si>
  <si>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</si>
  <si>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</si>
  <si>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</si>
  <si>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</si>
  <si>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</si>
  <si>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</si>
  <si>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</si>
  <si>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</si>
  <si>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</si>
  <si>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</si>
  <si>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</si>
  <si>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</si>
  <si>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</si>
  <si>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</si>
  <si>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</si>
  <si>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</si>
  <si>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</si>
  <si>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</si>
  <si>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</si>
  <si>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</si>
  <si>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</si>
  <si>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</si>
  <si>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</si>
  <si>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</si>
  <si>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</si>
  <si>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</si>
  <si>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</si>
  <si>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</si>
  <si>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</si>
  <si>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</si>
  <si>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</si>
  <si>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</si>
  <si>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</si>
  <si>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</si>
  <si>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</si>
  <si>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</si>
  <si>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</si>
  <si>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</si>
  <si>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</si>
  <si>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</si>
  <si>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</si>
  <si>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</si>
  <si>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</si>
  <si>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</si>
  <si>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</si>
  <si>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</si>
  <si>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</si>
  <si>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</si>
  <si>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</si>
  <si>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</si>
  <si>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</si>
  <si>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</si>
  <si>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</si>
  <si>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</si>
  <si>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</si>
  <si>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</si>
  <si>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</si>
  <si>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</si>
  <si>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</si>
  <si>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</si>
  <si>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</si>
  <si>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</si>
  <si>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</si>
  <si>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</si>
  <si>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</si>
  <si>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</si>
  <si>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</si>
  <si>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</si>
  <si>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</si>
  <si>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</si>
  <si>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</si>
  <si>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</si>
  <si>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</si>
  <si>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</si>
  <si>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</si>
  <si>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</si>
  <si>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</si>
  <si>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</si>
  <si>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</si>
  <si>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</si>
  <si>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</si>
  <si>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</si>
  <si>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</si>
  <si>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</si>
  <si>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</si>
  <si>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</si>
  <si>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</si>
  <si>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</si>
  <si>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</si>
  <si>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</si>
  <si>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</si>
  <si>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</si>
  <si>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</si>
  <si>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</si>
  <si>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</si>
  <si>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</si>
  <si>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</si>
  <si>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</si>
  <si>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</si>
  <si>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</si>
  <si>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</si>
  <si>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</si>
  <si>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</si>
  <si>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</si>
  <si>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</si>
  <si>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</si>
  <si>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</si>
  <si>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</si>
  <si>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</si>
  <si>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</si>
  <si>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</si>
  <si>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</si>
  <si>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</si>
  <si>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</si>
  <si>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</si>
  <si>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</si>
  <si>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</si>
  <si>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</si>
  <si>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</si>
  <si>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</si>
  <si>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</si>
  <si>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</si>
  <si>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</si>
  <si>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</si>
  <si>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</si>
  <si>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</si>
  <si>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</si>
  <si>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</si>
  <si>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</si>
  <si>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</si>
  <si>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</si>
  <si>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</si>
  <si>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</si>
  <si>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</si>
  <si>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</si>
  <si>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</si>
  <si>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</si>
  <si>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</si>
  <si>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</si>
  <si>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</si>
  <si>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</si>
  <si>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</si>
  <si>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</si>
  <si>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</si>
  <si>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</si>
  <si>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</si>
  <si>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</si>
  <si>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</si>
  <si>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</si>
  <si>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</si>
  <si>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</si>
  <si>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</si>
  <si>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</si>
  <si>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</si>
  <si>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</si>
  <si>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</si>
  <si>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</si>
  <si>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</si>
  <si>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</si>
  <si>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</si>
  <si>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</si>
  <si>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</si>
  <si>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</si>
  <si>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</si>
  <si>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</si>
  <si>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</si>
  <si>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</si>
  <si>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</si>
  <si>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</si>
  <si>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</si>
  <si>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</si>
  <si>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</si>
  <si>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</si>
  <si>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</si>
  <si>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</si>
  <si>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</si>
  <si>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</si>
  <si>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</si>
  <si>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</si>
  <si>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</si>
  <si>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</si>
  <si>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</si>
  <si>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</si>
  <si>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</si>
  <si>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</si>
  <si>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</si>
  <si>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</si>
  <si>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</si>
  <si>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</si>
  <si>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</si>
  <si>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</si>
  <si>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</si>
  <si>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</si>
  <si>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</si>
  <si>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</si>
  <si>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</si>
  <si>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</si>
  <si>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</si>
  <si>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</si>
  <si>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</si>
  <si>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</si>
  <si>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</si>
  <si>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</si>
  <si>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</si>
  <si>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</si>
  <si>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</si>
  <si>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</si>
  <si>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</si>
  <si>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</si>
  <si>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</si>
  <si>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</si>
  <si>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</si>
  <si>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</si>
  <si>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</si>
  <si>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</si>
  <si>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</si>
  <si>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</si>
  <si>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</si>
  <si>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</si>
  <si>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</si>
  <si>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</si>
  <si>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</si>
  <si>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</si>
  <si>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</si>
  <si>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</si>
  <si>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</si>
  <si>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</si>
  <si>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</si>
  <si>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</si>
  <si>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</si>
  <si>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</si>
  <si>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</si>
  <si>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</si>
  <si>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</si>
  <si>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</si>
  <si>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</si>
  <si>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</si>
  <si>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</si>
  <si>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</si>
  <si>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</si>
  <si>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</si>
  <si>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</si>
  <si>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</si>
  <si>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</si>
  <si>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</si>
  <si>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</si>
  <si>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</si>
  <si>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</si>
  <si>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</si>
  <si>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</si>
  <si>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</si>
  <si>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</si>
  <si>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</si>
  <si>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</si>
  <si>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</si>
  <si>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</si>
  <si>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</si>
  <si>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</si>
  <si>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</si>
  <si>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</si>
  <si>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</si>
  <si>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</si>
  <si>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</si>
  <si>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</si>
  <si>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</si>
  <si>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</si>
  <si>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</si>
  <si>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</si>
  <si>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</si>
  <si>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</si>
  <si>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</si>
  <si>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</si>
  <si>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</si>
  <si>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</si>
  <si>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</si>
  <si>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</si>
  <si>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</si>
  <si>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</si>
  <si>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</si>
  <si>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</si>
  <si>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</si>
  <si>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</si>
  <si>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</si>
  <si>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</si>
  <si>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</si>
  <si>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</si>
  <si>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</si>
  <si>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</si>
  <si>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</si>
  <si>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</si>
  <si>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</si>
  <si>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</si>
  <si>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</si>
  <si>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</si>
  <si>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</si>
  <si>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</si>
  <si>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</si>
  <si>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</si>
  <si>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</si>
  <si>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</si>
  <si>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</si>
  <si>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</si>
  <si>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</si>
  <si>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</si>
  <si>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</si>
  <si>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</si>
  <si>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</si>
  <si>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</si>
  <si>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</si>
  <si>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</si>
  <si>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</si>
  <si>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</si>
  <si>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</si>
  <si>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</si>
  <si>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</si>
  <si>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</si>
  <si>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</si>
  <si>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</si>
  <si>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</si>
  <si>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</si>
  <si>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</si>
  <si>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</si>
  <si>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</si>
  <si>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</si>
  <si>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</si>
  <si>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</si>
  <si>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</si>
  <si>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</si>
  <si>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</si>
  <si>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</si>
  <si>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</si>
  <si>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</si>
  <si>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</si>
  <si>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</si>
  <si>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</si>
  <si>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</si>
  <si>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</si>
  <si>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</si>
  <si>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</si>
  <si>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</si>
  <si>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</si>
  <si>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</si>
  <si>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</si>
  <si>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</si>
  <si>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</si>
  <si>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</si>
  <si>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</si>
  <si>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</si>
  <si>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</si>
  <si>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</si>
  <si>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</si>
  <si>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</si>
  <si>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</si>
  <si>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</si>
  <si>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</si>
  <si>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</si>
  <si>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</si>
  <si>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</si>
  <si>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</si>
  <si>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</si>
  <si>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</si>
  <si>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</si>
  <si>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</si>
  <si>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</si>
  <si>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</si>
  <si>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</si>
  <si>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</si>
  <si>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</si>
  <si>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</si>
  <si>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</si>
  <si>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</si>
  <si>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</si>
  <si>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</si>
  <si>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</si>
  <si>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</si>
  <si>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</si>
  <si>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</si>
  <si>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</si>
  <si>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</si>
  <si>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</si>
  <si>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</si>
  <si>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</si>
  <si>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</si>
  <si>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</si>
  <si>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</si>
  <si>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</si>
  <si>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</si>
  <si>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</si>
  <si>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</si>
  <si>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</si>
  <si>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</si>
  <si>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</si>
  <si>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</si>
  <si>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</si>
  <si>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</si>
  <si>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</si>
  <si>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</si>
  <si>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</si>
  <si>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</si>
  <si>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</si>
  <si>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</si>
  <si>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</si>
  <si>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</si>
  <si>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</si>
  <si>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</si>
  <si>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</si>
  <si>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</si>
  <si>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</si>
  <si>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</si>
  <si>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</si>
  <si>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</si>
  <si>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</si>
  <si>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</si>
  <si>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</si>
  <si>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</si>
  <si>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</si>
  <si>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</si>
  <si>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</si>
  <si>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</si>
  <si>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</si>
  <si>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</si>
  <si>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</si>
  <si>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</si>
  <si>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</si>
  <si>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</si>
  <si>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</si>
  <si>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</si>
  <si>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</si>
  <si>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</si>
  <si>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</si>
  <si>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</si>
  <si>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</si>
  <si>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</si>
  <si>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</si>
  <si>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</si>
  <si>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</si>
  <si>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</si>
  <si>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</si>
  <si>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</si>
  <si>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</si>
  <si>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</si>
  <si>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</si>
  <si>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</si>
  <si>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</si>
  <si>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</si>
  <si>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</si>
  <si>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</si>
  <si>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</si>
  <si>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</si>
  <si>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</si>
  <si>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</si>
  <si>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</si>
  <si>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</si>
  <si>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</si>
  <si>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</si>
  <si>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</si>
  <si>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</si>
  <si>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</si>
  <si>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</si>
  <si>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</si>
  <si>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</si>
  <si>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</si>
  <si>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</si>
  <si>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</si>
  <si>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</si>
  <si>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</si>
  <si>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</si>
  <si>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</si>
  <si>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</si>
  <si>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</si>
  <si>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</si>
  <si>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</si>
  <si>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</si>
  <si>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</si>
  <si>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</si>
  <si>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</si>
  <si>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</si>
  <si>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</si>
  <si>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</si>
  <si>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</si>
  <si>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</si>
  <si>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</si>
  <si>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</si>
  <si>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</si>
  <si>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</si>
  <si>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</si>
  <si>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</si>
  <si>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</si>
  <si>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</si>
  <si>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</si>
  <si>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</si>
  <si>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</si>
  <si>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</si>
  <si>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</si>
  <si>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</si>
  <si>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</si>
  <si>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</si>
  <si>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</si>
  <si>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</si>
  <si>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</si>
  <si>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</si>
  <si>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</si>
  <si>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</si>
  <si>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</si>
  <si>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</si>
  <si>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</si>
  <si>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</si>
  <si>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</si>
  <si>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</si>
  <si>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</si>
  <si>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</si>
  <si>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</si>
  <si>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</si>
  <si>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</si>
  <si>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</si>
  <si>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</si>
  <si>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</si>
  <si>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</si>
  <si>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</si>
  <si>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</si>
  <si>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</si>
  <si>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</si>
  <si>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</si>
  <si>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</si>
  <si>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</si>
  <si>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</si>
  <si>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</si>
  <si>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</si>
  <si>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</si>
  <si>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</si>
  <si>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</si>
  <si>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</si>
  <si>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</si>
  <si>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</si>
  <si>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</si>
  <si>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</si>
  <si>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</si>
  <si>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</si>
  <si>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</si>
  <si>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</si>
  <si>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</si>
  <si>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</si>
  <si>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</si>
  <si>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</si>
  <si>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</si>
  <si>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</si>
  <si>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</si>
  <si>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</si>
  <si>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</si>
  <si>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</si>
  <si>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</si>
  <si>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</si>
  <si>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</si>
  <si>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</si>
  <si>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</si>
  <si>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</si>
  <si>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</si>
  <si>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</si>
  <si>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</si>
  <si>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</si>
  <si>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</si>
  <si>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</si>
  <si>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</si>
  <si>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</si>
  <si>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</si>
  <si>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</si>
  <si>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</si>
  <si>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</si>
  <si>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</si>
  <si>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</si>
  <si>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</si>
  <si>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</si>
  <si>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</si>
  <si>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</si>
  <si>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</si>
  <si>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</si>
  <si>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</si>
  <si>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</si>
  <si>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</si>
  <si>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</si>
  <si>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</si>
  <si>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</si>
  <si>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</si>
  <si>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</si>
  <si>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</si>
  <si>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</si>
  <si>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</si>
  <si>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</si>
  <si>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</si>
  <si>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</si>
  <si>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</si>
  <si>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</si>
  <si>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</si>
  <si>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</si>
  <si>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</si>
  <si>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</si>
  <si>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</si>
  <si>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</si>
  <si>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</si>
  <si>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</si>
  <si>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</si>
  <si>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</si>
  <si>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</si>
  <si>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</si>
  <si>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</si>
  <si>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</si>
  <si>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</si>
  <si>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</si>
  <si>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</si>
  <si>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</si>
  <si>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</si>
  <si>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</si>
  <si>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</si>
  <si>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</si>
  <si>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</si>
  <si>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</si>
  <si>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</si>
  <si>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</si>
  <si>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</si>
  <si>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</si>
  <si>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</si>
  <si>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</si>
  <si>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</si>
  <si>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</si>
  <si>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</si>
  <si>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</si>
  <si>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</si>
  <si>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</si>
  <si>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</si>
  <si>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</si>
  <si>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</si>
  <si>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</si>
  <si>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</si>
  <si>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</si>
  <si>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</si>
  <si>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</si>
  <si>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</si>
  <si>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</si>
  <si>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</si>
  <si>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</si>
  <si>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</si>
  <si>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</si>
  <si>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</si>
  <si>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</si>
  <si>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</si>
  <si>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</si>
  <si>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</si>
  <si>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</si>
  <si>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</si>
  <si>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</si>
  <si>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</si>
  <si>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</si>
  <si>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</si>
  <si>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</si>
  <si>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</si>
  <si>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</si>
  <si>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</si>
  <si>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</si>
  <si>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</si>
  <si>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</si>
  <si>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</si>
  <si>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</si>
  <si>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</si>
  <si>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</si>
  <si>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</si>
  <si>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</si>
  <si>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</si>
  <si>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</si>
  <si>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</si>
  <si>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</si>
  <si>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</si>
  <si>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</si>
  <si>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</si>
  <si>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</si>
  <si>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</si>
  <si>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</si>
  <si>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</si>
  <si>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</si>
  <si>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</si>
  <si>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</si>
  <si>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</si>
  <si>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</si>
  <si>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</si>
  <si>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</si>
  <si>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</si>
  <si>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</si>
  <si>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</si>
  <si>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</si>
  <si>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</si>
  <si>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</si>
  <si>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</si>
  <si>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</si>
  <si>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</si>
  <si>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</si>
  <si>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</si>
  <si>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</si>
  <si>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</si>
  <si>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</si>
  <si>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</si>
  <si>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</si>
  <si>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</si>
  <si>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</si>
  <si>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</si>
  <si>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</si>
  <si>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</si>
  <si>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</si>
  <si>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</si>
  <si>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</si>
  <si>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</si>
  <si>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</si>
  <si>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</si>
  <si>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</si>
  <si>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</si>
  <si>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</si>
  <si>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</si>
  <si>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</si>
  <si>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</si>
  <si>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</si>
  <si>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</si>
  <si>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</si>
  <si>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</si>
  <si>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</si>
  <si>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</si>
  <si>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</si>
  <si>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</si>
  <si>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</si>
  <si>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</si>
  <si>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</si>
  <si>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</si>
  <si>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</si>
  <si>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</si>
  <si>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</si>
  <si>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</si>
  <si>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</si>
  <si>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</si>
  <si>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</si>
  <si>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</si>
  <si>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</si>
  <si>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</si>
  <si>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</si>
  <si>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</si>
  <si>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</si>
  <si>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</si>
  <si>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</si>
  <si>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</si>
  <si>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</si>
  <si>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</si>
  <si>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</si>
  <si>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</si>
  <si>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</si>
  <si>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</si>
  <si>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</si>
  <si>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</si>
  <si>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</si>
  <si>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</si>
  <si>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</si>
  <si>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</si>
  <si>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</si>
  <si>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</si>
  <si>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</si>
  <si>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</si>
  <si>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</si>
  <si>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</si>
  <si>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</si>
  <si>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</si>
  <si>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</si>
  <si>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</si>
  <si>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</si>
  <si>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</si>
  <si>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</si>
  <si>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</si>
  <si>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</si>
  <si>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</si>
  <si>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</si>
  <si>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</si>
  <si>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</si>
  <si>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</si>
  <si>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</si>
  <si>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</si>
  <si>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</si>
  <si>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</si>
  <si>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</si>
  <si>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</si>
  <si>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</si>
  <si>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</si>
  <si>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</si>
  <si>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</si>
  <si>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</si>
  <si>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</si>
  <si>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</si>
  <si>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</si>
  <si>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</si>
  <si>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</si>
  <si>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</si>
  <si>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</si>
  <si>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</si>
  <si>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</si>
  <si>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</si>
  <si>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</si>
  <si>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</si>
  <si>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</si>
  <si>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</si>
  <si>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</si>
  <si>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</si>
  <si>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</si>
  <si>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</si>
  <si>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</si>
  <si>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</si>
  <si>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</si>
  <si>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</si>
  <si>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</si>
  <si>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</si>
  <si>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</si>
  <si>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</si>
  <si>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</si>
  <si>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</si>
  <si>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</si>
  <si>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</si>
  <si>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</si>
  <si>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</si>
  <si>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</si>
  <si>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</si>
  <si>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</si>
  <si>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</si>
  <si>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</si>
  <si>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</si>
  <si>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</si>
  <si>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</si>
  <si>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</si>
  <si>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</si>
  <si>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</si>
  <si>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</si>
  <si>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</si>
  <si>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</si>
  <si>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</si>
  <si>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</si>
  <si>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</si>
  <si>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</si>
  <si>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</si>
  <si>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</si>
  <si>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</si>
  <si>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</si>
  <si>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</si>
  <si>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</si>
  <si>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</si>
  <si>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</si>
  <si>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</si>
  <si>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</si>
  <si>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</si>
  <si>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</si>
  <si>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</si>
  <si>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</si>
  <si>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</si>
  <si>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</si>
  <si>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</si>
  <si>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</si>
  <si>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</si>
  <si>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</si>
  <si>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</si>
  <si>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</si>
  <si>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</si>
  <si>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</si>
  <si>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</si>
  <si>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</si>
  <si>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</si>
  <si>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</si>
  <si>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</si>
  <si>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</si>
  <si>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</si>
  <si>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</si>
  <si>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</si>
  <si>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</si>
  <si>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</si>
  <si>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</si>
  <si>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</si>
  <si>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</si>
  <si>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</si>
  <si>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</si>
  <si>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</si>
  <si>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</si>
  <si>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</si>
  <si>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</si>
  <si>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</si>
  <si>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</si>
  <si>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</si>
  <si>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</si>
  <si>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</si>
  <si>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</si>
  <si>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</si>
  <si>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</si>
  <si>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</si>
  <si>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</si>
  <si>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</si>
  <si>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</si>
  <si>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</si>
  <si>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</si>
  <si>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</si>
  <si>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</si>
  <si>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</si>
  <si>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</si>
  <si>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</si>
  <si>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</si>
  <si>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</si>
  <si>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</si>
  <si>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</si>
  <si>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</si>
  <si>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</si>
  <si>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</si>
  <si>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</si>
  <si>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</si>
  <si>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</si>
  <si>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</si>
  <si>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</si>
  <si>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</si>
  <si>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</si>
  <si>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</si>
  <si>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</si>
  <si>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</si>
  <si>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</si>
  <si>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</si>
  <si>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</si>
  <si>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</si>
  <si>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</si>
  <si>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</si>
  <si>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</si>
  <si>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</si>
  <si>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</si>
  <si>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</si>
  <si>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</si>
  <si>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</si>
  <si>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</si>
  <si>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</si>
  <si>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</si>
  <si>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</si>
  <si>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</si>
  <si>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</si>
  <si>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</si>
  <si>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</si>
  <si>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</si>
  <si>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</si>
  <si>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</si>
  <si>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</si>
  <si>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</si>
  <si>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</si>
  <si>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</si>
  <si>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</si>
  <si>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</si>
  <si>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</si>
  <si>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</si>
  <si>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</si>
  <si>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</si>
  <si>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</si>
  <si>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</si>
  <si>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</si>
  <si>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</si>
  <si>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</si>
  <si>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</si>
  <si>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</si>
  <si>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</si>
  <si>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</si>
  <si>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</si>
  <si>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</si>
  <si>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</si>
  <si>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</si>
  <si>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</si>
  <si>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</si>
  <si>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</si>
  <si>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</si>
  <si>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</si>
  <si>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</si>
  <si>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</si>
  <si>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</si>
  <si>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</si>
  <si>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</si>
  <si>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</si>
  <si>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</si>
  <si>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</si>
  <si>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</si>
  <si>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</si>
  <si>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</si>
  <si>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</si>
  <si>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</si>
  <si>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</si>
  <si>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</si>
  <si>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</si>
  <si>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</si>
  <si>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</si>
  <si>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</si>
  <si>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</si>
  <si>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</si>
  <si>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</si>
  <si>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</si>
  <si>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</si>
  <si>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</si>
  <si>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</si>
  <si>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</si>
  <si>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</si>
  <si>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</si>
  <si>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</si>
  <si>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</si>
  <si>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</si>
  <si>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</si>
  <si>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</si>
  <si>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</si>
  <si>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</si>
  <si>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</si>
  <si>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</si>
  <si>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</si>
  <si>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</si>
  <si>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</si>
  <si>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</si>
  <si>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</si>
  <si>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</si>
  <si>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</si>
  <si>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</si>
  <si>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</si>
  <si>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</si>
  <si>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</si>
  <si>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</si>
  <si>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</si>
  <si>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</si>
  <si>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</si>
  <si>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</si>
  <si>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</si>
  <si>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</si>
  <si>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</si>
  <si>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</si>
  <si>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</si>
  <si>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</si>
  <si>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</si>
  <si>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</si>
  <si>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</si>
  <si>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</si>
  <si>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</si>
  <si>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</si>
  <si>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</si>
  <si>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</si>
  <si>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</si>
  <si>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</si>
  <si>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</si>
  <si>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</si>
  <si>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</si>
  <si>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</si>
  <si>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</si>
  <si>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</si>
  <si>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</si>
  <si>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</si>
  <si>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</si>
  <si>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</si>
  <si>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</si>
  <si>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</si>
  <si>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</si>
  <si>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</si>
  <si>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</si>
  <si>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</si>
  <si>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</si>
  <si>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</si>
  <si>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</si>
  <si>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</si>
  <si>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</si>
  <si>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</si>
  <si>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</si>
  <si>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</si>
  <si>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</si>
  <si>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</si>
  <si>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</si>
  <si>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</si>
  <si>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</si>
  <si>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</si>
  <si>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</si>
  <si>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</si>
  <si>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</si>
  <si>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</si>
  <si>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</si>
  <si>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</si>
  <si>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</si>
  <si>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</si>
  <si>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</si>
  <si>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</si>
  <si>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</si>
  <si>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</si>
  <si>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</si>
  <si>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</si>
  <si>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</si>
  <si>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</si>
  <si>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</si>
  <si>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</si>
  <si>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</si>
  <si>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</si>
  <si>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</si>
  <si>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</si>
  <si>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</si>
  <si>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</si>
  <si>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</si>
  <si>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</si>
  <si>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</si>
  <si>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</si>
  <si>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</si>
  <si>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</si>
  <si>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</si>
  <si>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</si>
  <si>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</si>
  <si>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</si>
  <si>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</si>
  <si>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</si>
  <si>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</si>
  <si>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</si>
  <si>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</si>
  <si>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</si>
  <si>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</si>
  <si>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</si>
  <si>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</si>
  <si>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</si>
  <si>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</si>
  <si>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</si>
  <si>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</si>
  <si>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</si>
  <si>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</si>
  <si>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</si>
  <si>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</si>
  <si>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</si>
  <si>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</si>
  <si>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</si>
  <si>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</si>
  <si>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</si>
  <si>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</si>
  <si>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</si>
  <si>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</si>
  <si>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</si>
  <si>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</si>
  <si>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</si>
  <si>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</si>
  <si>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</si>
  <si>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</si>
  <si>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</si>
  <si>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</si>
  <si>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</si>
  <si>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</si>
  <si>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</si>
  <si>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</si>
  <si>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</si>
  <si>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</si>
  <si>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</si>
  <si>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</si>
  <si>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</si>
  <si>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</si>
  <si>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</si>
  <si>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</si>
  <si>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</si>
  <si>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</si>
  <si>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</si>
  <si>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</si>
  <si>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</si>
  <si>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</si>
  <si>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</si>
  <si>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</si>
  <si>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</si>
  <si>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</si>
  <si>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</si>
  <si>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</si>
  <si>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</si>
  <si>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</si>
  <si>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</si>
  <si>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</si>
  <si>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</si>
  <si>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</si>
  <si>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</si>
  <si>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</si>
  <si>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</si>
  <si>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</si>
  <si>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</si>
  <si>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</si>
  <si>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</si>
  <si>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</si>
  <si>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</si>
  <si>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</si>
  <si>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</si>
  <si>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</si>
  <si>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</si>
  <si>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</si>
  <si>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</si>
  <si>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</si>
  <si>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</si>
  <si>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</si>
  <si>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</si>
  <si>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</si>
  <si>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</si>
  <si>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</si>
  <si>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</si>
  <si>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</si>
  <si>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</si>
  <si>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</si>
  <si>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</si>
  <si>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</si>
  <si>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</si>
  <si>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</si>
  <si>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</si>
  <si>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</si>
  <si>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</si>
  <si>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</si>
  <si>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</si>
  <si>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</si>
  <si>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</si>
  <si>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</si>
  <si>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</si>
  <si>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</si>
  <si>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</si>
  <si>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</si>
  <si>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</si>
  <si>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</si>
  <si>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</si>
  <si>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</si>
  <si>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</si>
  <si>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</si>
  <si>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</si>
  <si>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</si>
  <si>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</si>
  <si>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</si>
  <si>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</si>
  <si>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</si>
  <si>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</si>
  <si>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</si>
  <si>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</si>
  <si>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</si>
  <si>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</si>
  <si>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</si>
  <si>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</si>
  <si>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</si>
  <si>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</si>
  <si>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</si>
  <si>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</si>
  <si>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</si>
  <si>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</si>
  <si>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</si>
  <si>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</si>
  <si>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</si>
  <si>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</si>
  <si>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</si>
  <si>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</si>
  <si>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</si>
  <si>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</si>
  <si>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</si>
  <si>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</si>
  <si>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</si>
  <si>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</si>
  <si>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</si>
  <si>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</si>
  <si>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</si>
  <si>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</si>
  <si>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</si>
  <si>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</si>
  <si>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</si>
  <si>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</si>
  <si>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</si>
  <si>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</si>
  <si>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</si>
  <si>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</si>
  <si>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</si>
  <si>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</si>
  <si>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</si>
  <si>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</si>
  <si>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</si>
  <si>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</si>
  <si>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</si>
  <si>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</si>
  <si>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</si>
  <si>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</si>
  <si>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</si>
  <si>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</si>
  <si>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</si>
  <si>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</si>
  <si>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</si>
  <si>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</si>
  <si>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</si>
  <si>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</si>
  <si>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</si>
  <si>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</si>
  <si>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</si>
  <si>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</si>
  <si>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</si>
  <si>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</si>
  <si>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</si>
  <si>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</si>
  <si>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</si>
  <si>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</si>
  <si>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</si>
  <si>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</si>
  <si>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</si>
  <si>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</si>
  <si>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</si>
  <si>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</si>
  <si>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</si>
  <si>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</si>
  <si>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</si>
  <si>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</si>
  <si>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</si>
  <si>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</si>
  <si>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</si>
  <si>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</si>
  <si>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</si>
  <si>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</si>
  <si>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</si>
  <si>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</si>
  <si>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</si>
  <si>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</si>
  <si>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</si>
  <si>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</si>
  <si>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</si>
  <si>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</si>
  <si>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</si>
  <si>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</si>
  <si>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</si>
  <si>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</si>
  <si>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</si>
  <si>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</si>
  <si>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</si>
  <si>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</si>
  <si>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</si>
  <si>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</si>
  <si>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</si>
  <si>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</si>
  <si>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</si>
  <si>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</si>
  <si>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</si>
  <si>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</si>
  <si>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</si>
  <si>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</si>
  <si>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</si>
  <si>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</si>
  <si>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</si>
  <si>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</si>
  <si>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</si>
  <si>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</si>
  <si>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</si>
  <si>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</si>
  <si>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</si>
  <si>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</si>
  <si>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</si>
  <si>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</si>
  <si>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</si>
  <si>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</si>
  <si>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</si>
  <si>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</si>
  <si>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</si>
  <si>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</si>
  <si>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</si>
  <si>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</si>
  <si>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</si>
  <si>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</si>
  <si>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</si>
  <si>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</si>
  <si>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</si>
  <si>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</si>
  <si>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</si>
  <si>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</si>
  <si>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</si>
  <si>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</si>
  <si>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</si>
  <si>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</si>
  <si>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</si>
  <si>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</si>
  <si>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</si>
  <si>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</si>
  <si>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</si>
  <si>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</si>
  <si>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</si>
  <si>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</si>
  <si>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</si>
  <si>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</si>
  <si>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</si>
  <si>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</si>
  <si>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</si>
  <si>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</si>
  <si>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</si>
  <si>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</si>
  <si>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</si>
  <si>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</si>
  <si>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</si>
  <si>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</si>
  <si>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</si>
  <si>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</si>
  <si>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</si>
  <si>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</si>
  <si>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</si>
  <si>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</si>
  <si>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</si>
  <si>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</si>
  <si>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</si>
  <si>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</si>
  <si>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</si>
  <si>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</si>
  <si>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</si>
  <si>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</si>
  <si>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</si>
  <si>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</si>
  <si>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</si>
  <si>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</si>
  <si>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</si>
  <si>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</si>
  <si>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</si>
  <si>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</si>
  <si>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</si>
  <si>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</si>
  <si>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</si>
  <si>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</si>
  <si>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</si>
  <si>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</si>
  <si>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</si>
  <si>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</si>
  <si>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</si>
  <si>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</si>
  <si>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</si>
  <si>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</si>
  <si>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</si>
  <si>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</si>
  <si>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</si>
  <si>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</si>
  <si>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</si>
  <si>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</si>
  <si>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</si>
  <si>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</si>
  <si>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</si>
  <si>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</si>
  <si>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</si>
  <si>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</si>
  <si>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</si>
  <si>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</si>
  <si>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</si>
  <si>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</si>
  <si>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</si>
  <si>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</si>
  <si>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</si>
  <si>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</si>
  <si>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</si>
  <si>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</si>
  <si>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</si>
  <si>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</si>
  <si>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</si>
  <si>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</si>
  <si>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</si>
  <si>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</si>
  <si>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</si>
  <si>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</si>
  <si>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</si>
  <si>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</si>
  <si>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</si>
  <si>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</si>
  <si>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</si>
  <si>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</si>
  <si>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</si>
  <si>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</si>
  <si>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</si>
  <si>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</si>
  <si>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</si>
  <si>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</si>
  <si>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</si>
  <si>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</si>
  <si>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</si>
  <si>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</si>
  <si>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</si>
  <si>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</si>
  <si>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</si>
  <si>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</si>
  <si>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</si>
  <si>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</si>
  <si>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</si>
  <si>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</si>
  <si>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</si>
  <si>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</si>
  <si>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</si>
  <si>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</si>
  <si>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</si>
  <si>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</si>
  <si>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</si>
  <si>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</si>
  <si>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</si>
  <si>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</si>
  <si>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</si>
  <si>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</si>
  <si>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</si>
  <si>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</si>
  <si>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</si>
  <si>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</si>
  <si>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</si>
  <si>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</si>
  <si>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</si>
  <si>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</si>
  <si>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</si>
  <si>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</si>
  <si>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</si>
  <si>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</si>
  <si>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</si>
  <si>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</si>
  <si>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</si>
  <si>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</si>
  <si>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</si>
  <si>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</si>
  <si>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</si>
  <si>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</si>
  <si>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</si>
  <si>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</si>
  <si>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</si>
  <si>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</si>
  <si>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</si>
  <si>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</si>
  <si>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</si>
  <si>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</si>
  <si>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</si>
  <si>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</si>
  <si>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</si>
  <si>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</si>
  <si>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</si>
  <si>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</si>
  <si>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</si>
  <si>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</si>
  <si>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</si>
  <si>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</si>
  <si>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</si>
  <si>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</si>
  <si>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</si>
  <si>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</si>
  <si>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</si>
  <si>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</si>
  <si>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</si>
  <si>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</si>
  <si>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</si>
  <si>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</si>
  <si>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</si>
  <si>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</si>
  <si>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</si>
  <si>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</si>
  <si>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</si>
  <si>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</si>
  <si>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</si>
  <si>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</si>
  <si>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</si>
  <si>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</si>
  <si>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</si>
  <si>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</si>
  <si>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</si>
  <si>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</si>
  <si>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</si>
  <si>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</si>
  <si>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</si>
  <si>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</si>
  <si>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</si>
  <si>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</si>
  <si>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</si>
  <si>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</si>
  <si>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</si>
  <si>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</si>
  <si>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</si>
  <si>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</si>
  <si>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</si>
  <si>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</si>
  <si>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</si>
  <si>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</si>
  <si>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</si>
  <si>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</si>
  <si>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</si>
  <si>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</si>
  <si>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</si>
  <si>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</si>
  <si>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</si>
  <si>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</si>
  <si>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</si>
  <si>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</si>
  <si>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</si>
  <si>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</si>
  <si>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</si>
  <si>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</si>
  <si>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</si>
  <si>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</si>
  <si>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</si>
  <si>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</si>
  <si>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</si>
  <si>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</si>
  <si>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</si>
  <si>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</si>
  <si>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</si>
  <si>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</si>
  <si>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</si>
  <si>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</si>
  <si>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</si>
  <si>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</si>
  <si>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</si>
  <si>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</si>
  <si>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</si>
  <si>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</si>
  <si>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</si>
  <si>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</si>
  <si>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</si>
  <si>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</si>
  <si>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</si>
  <si>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</si>
  <si>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</si>
  <si>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</si>
  <si>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</si>
  <si>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</si>
  <si>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</si>
  <si>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</si>
  <si>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</si>
  <si>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</si>
  <si>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</si>
  <si>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</si>
  <si>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</si>
  <si>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</si>
  <si>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</si>
  <si>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</si>
  <si>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</si>
  <si>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</si>
  <si>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</si>
  <si>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</si>
  <si>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</si>
  <si>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</si>
  <si>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</si>
  <si>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</si>
  <si>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</si>
  <si>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</si>
  <si>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</si>
  <si>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</si>
  <si>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</si>
  <si>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</si>
  <si>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</si>
  <si>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</si>
  <si>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</si>
  <si>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</si>
  <si>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</si>
  <si>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</si>
  <si>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</si>
  <si>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</si>
  <si>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</si>
  <si>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</si>
  <si>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</si>
  <si>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</si>
  <si>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</si>
  <si>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</si>
  <si>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</si>
  <si>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</si>
  <si>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</si>
  <si>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</si>
  <si>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</si>
  <si>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</si>
  <si>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</si>
  <si>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</si>
  <si>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</si>
  <si>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</si>
  <si>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</si>
  <si>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</si>
  <si>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</si>
  <si>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</si>
  <si>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</si>
  <si>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</si>
  <si>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</si>
  <si>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</si>
  <si>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</si>
  <si>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</si>
  <si>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</si>
  <si>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</si>
  <si>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</si>
  <si>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</si>
  <si>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</si>
  <si>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</si>
  <si>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</si>
  <si>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</si>
  <si>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</si>
  <si>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</si>
  <si>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</si>
  <si>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</si>
  <si>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</si>
  <si>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</si>
  <si>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</si>
  <si>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</si>
  <si>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</si>
  <si>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</si>
  <si>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</si>
  <si>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</si>
  <si>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</si>
  <si>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</si>
  <si>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</si>
  <si>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</si>
  <si>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</si>
  <si>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</si>
  <si>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</si>
  <si>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</si>
  <si>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</si>
  <si>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</si>
  <si>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</si>
  <si>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</si>
  <si>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</si>
  <si>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</si>
  <si>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</si>
  <si>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</si>
  <si>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</si>
  <si>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</si>
  <si>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</si>
  <si>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</si>
  <si>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</si>
  <si>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</si>
  <si>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</si>
  <si>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</si>
  <si>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</si>
  <si>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</si>
  <si>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</si>
  <si>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</si>
  <si>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</si>
  <si>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</si>
  <si>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</si>
  <si>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</si>
  <si>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</si>
  <si>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</si>
  <si>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</si>
  <si>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</si>
  <si>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</si>
  <si>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</si>
  <si>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</si>
  <si>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</si>
  <si>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</si>
  <si>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</si>
  <si>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</si>
  <si>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</si>
  <si>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</si>
  <si>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</si>
  <si>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</si>
  <si>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</si>
  <si>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</si>
  <si>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</si>
  <si>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</si>
  <si>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</si>
  <si>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</si>
  <si>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</si>
  <si>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</si>
  <si>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</si>
  <si>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</si>
  <si>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</si>
  <si>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</si>
  <si>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</si>
  <si>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</si>
  <si>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</si>
  <si>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</si>
  <si>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</si>
  <si>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</si>
  <si>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</si>
  <si>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</si>
  <si>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</si>
  <si>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</si>
  <si>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</si>
  <si>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</si>
  <si>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</si>
  <si>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</si>
  <si>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</si>
  <si>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</si>
  <si>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</si>
  <si>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</si>
  <si>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</si>
  <si>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</si>
  <si>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</si>
  <si>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</si>
  <si>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</si>
  <si>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</si>
  <si>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</si>
  <si>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</si>
  <si>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</si>
  <si>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</si>
  <si>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</si>
  <si>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</si>
  <si>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</si>
  <si>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</si>
  <si>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</si>
  <si>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</si>
  <si>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</si>
  <si>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</si>
  <si>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</si>
  <si>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</si>
  <si>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</si>
  <si>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</si>
  <si>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</si>
  <si>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</si>
  <si>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</si>
  <si>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</si>
  <si>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</si>
  <si>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</si>
  <si>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</si>
  <si>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</si>
  <si>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</si>
  <si>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</si>
  <si>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</si>
  <si>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</si>
  <si>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</si>
  <si>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</si>
  <si>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</si>
  <si>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</si>
  <si>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</si>
  <si>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</si>
  <si>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</si>
  <si>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</si>
  <si>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</si>
  <si>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</si>
  <si>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</si>
  <si>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</si>
  <si>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</si>
  <si>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</si>
  <si>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</si>
  <si>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</si>
  <si>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</si>
  <si>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</si>
  <si>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</si>
  <si>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</si>
  <si>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</si>
  <si>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</si>
  <si>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</si>
  <si>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</si>
  <si>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</si>
  <si>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</si>
  <si>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</si>
  <si>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</si>
  <si>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</si>
  <si>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</si>
  <si>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</si>
  <si>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</si>
  <si>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</si>
  <si>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</si>
  <si>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</si>
  <si>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</si>
  <si>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</si>
  <si>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</si>
  <si>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</si>
  <si>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</si>
  <si>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</si>
  <si>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</si>
  <si>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</si>
  <si>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</si>
  <si>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</si>
  <si>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</si>
  <si>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</si>
  <si>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</si>
  <si>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</si>
  <si>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</si>
  <si>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</si>
  <si>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</si>
  <si>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</si>
  <si>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</si>
  <si>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</si>
  <si>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</si>
  <si>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</si>
  <si>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</si>
  <si>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</si>
  <si>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</si>
  <si>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</si>
  <si>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</si>
  <si>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</si>
  <si>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</si>
  <si>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</si>
  <si>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</si>
  <si>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</si>
  <si>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</si>
  <si>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</si>
  <si>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</si>
  <si>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</si>
  <si>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</si>
  <si>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</si>
  <si>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</si>
  <si>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</si>
  <si>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</si>
  <si>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</si>
  <si>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</si>
  <si>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</si>
  <si>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</si>
  <si>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</si>
  <si>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</si>
  <si>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</si>
  <si>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</si>
  <si>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</si>
  <si>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</si>
  <si>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</si>
  <si>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</si>
  <si>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</si>
  <si>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</si>
  <si>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</si>
  <si>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</si>
  <si>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</si>
  <si>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</si>
  <si>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</si>
  <si>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</si>
  <si>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</si>
  <si>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</si>
  <si>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</si>
  <si>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</si>
  <si>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</si>
  <si>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</si>
  <si>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</si>
  <si>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</si>
  <si>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</si>
  <si>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</si>
  <si>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</si>
  <si>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</si>
  <si>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</si>
  <si>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</si>
  <si>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</si>
  <si>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</si>
  <si>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</si>
  <si>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</si>
  <si>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</si>
  <si>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</si>
  <si>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</si>
  <si>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</si>
  <si>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</si>
  <si>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</si>
  <si>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</si>
  <si>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</si>
  <si>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</si>
  <si>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</si>
  <si>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</si>
  <si>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</si>
  <si>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</si>
  <si>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</si>
  <si>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</si>
  <si>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</si>
  <si>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</si>
  <si>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</si>
  <si>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</si>
  <si>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</si>
  <si>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</si>
  <si>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</si>
  <si>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</si>
  <si>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</si>
  <si>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</si>
  <si>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</si>
  <si>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</si>
  <si>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</si>
  <si>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</si>
  <si>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</si>
  <si>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</si>
  <si>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</si>
  <si>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</si>
  <si>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</si>
  <si>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</si>
  <si>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</si>
  <si>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</si>
  <si>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</si>
  <si>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</si>
  <si>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</si>
  <si>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</si>
  <si>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</si>
  <si>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</si>
  <si>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</si>
  <si>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</si>
  <si>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</si>
  <si>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</si>
  <si>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</si>
  <si>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</si>
  <si>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</si>
  <si>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</si>
  <si>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</si>
  <si>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</si>
  <si>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</si>
  <si>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</si>
  <si>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</si>
  <si>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</si>
  <si>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</si>
  <si>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</si>
  <si>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</si>
  <si>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</si>
  <si>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</si>
  <si>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</si>
  <si>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</si>
  <si>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</si>
  <si>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</si>
  <si>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</si>
  <si>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</si>
  <si>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</si>
  <si>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</si>
  <si>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</si>
  <si>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</si>
  <si>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</si>
  <si>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</si>
  <si>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</si>
  <si>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</si>
  <si>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</si>
  <si>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</si>
  <si>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</si>
  <si>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</si>
  <si>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</si>
  <si>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</si>
  <si>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</si>
  <si>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</si>
  <si>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</si>
  <si>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</si>
  <si>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</si>
  <si>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</si>
  <si>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</si>
  <si>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</si>
  <si>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</si>
  <si>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</si>
  <si>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</si>
  <si>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</si>
  <si>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</si>
  <si>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</si>
  <si>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</si>
  <si>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</si>
  <si>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</si>
  <si>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</si>
  <si>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</si>
  <si>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</si>
  <si>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</si>
  <si>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</si>
  <si>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</si>
  <si>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</si>
  <si>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</si>
  <si>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</si>
  <si>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</si>
  <si>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</si>
  <si>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</si>
  <si>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</si>
  <si>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</si>
  <si>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</si>
  <si>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</si>
  <si>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</si>
  <si>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</si>
  <si>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</si>
  <si>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</si>
  <si>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</si>
  <si>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</si>
  <si>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</si>
  <si>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</si>
  <si>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</si>
  <si>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</si>
  <si>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</si>
  <si>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</si>
  <si>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</si>
  <si>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</si>
  <si>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</si>
  <si>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</si>
  <si>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</si>
  <si>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</si>
  <si>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</si>
  <si>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</si>
  <si>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</si>
  <si>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</si>
  <si>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</si>
  <si>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</si>
  <si>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</si>
  <si>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</si>
  <si>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</si>
  <si>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</si>
  <si>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</si>
  <si>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</si>
  <si>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</si>
  <si>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</si>
  <si>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</si>
  <si>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</si>
  <si>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</si>
  <si>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</si>
  <si>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</si>
  <si>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</si>
  <si>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</si>
  <si>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</si>
  <si>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</si>
  <si>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</si>
  <si>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</si>
  <si>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</si>
  <si>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</si>
  <si>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</si>
  <si>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</si>
  <si>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</si>
  <si>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</si>
  <si>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</si>
  <si>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</si>
  <si>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</si>
  <si>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</si>
  <si>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</si>
  <si>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</si>
  <si>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</si>
  <si>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</si>
  <si>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</si>
  <si>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</si>
  <si>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</si>
  <si>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</si>
  <si>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</si>
  <si>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</si>
  <si>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</si>
  <si>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</si>
  <si>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</si>
  <si>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</si>
  <si>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</si>
  <si>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</si>
  <si>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</si>
  <si>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</si>
  <si>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</si>
  <si>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</si>
  <si>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</si>
  <si>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</si>
  <si>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</si>
  <si>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</si>
  <si>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</si>
  <si>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</si>
  <si>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</si>
  <si>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</si>
  <si>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</si>
  <si>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</si>
  <si>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</si>
  <si>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</si>
  <si>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</si>
  <si>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</si>
  <si>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</si>
  <si>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</si>
  <si>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</si>
  <si>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</si>
  <si>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</si>
  <si>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</si>
  <si>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</si>
  <si>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</si>
  <si>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</si>
  <si>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</si>
  <si>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</si>
  <si>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</si>
  <si>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</si>
  <si>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</si>
  <si>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</si>
  <si>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</si>
  <si>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</si>
  <si>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</si>
  <si>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</si>
  <si>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</si>
  <si>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</si>
  <si>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</si>
  <si>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</si>
  <si>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</si>
  <si>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</si>
  <si>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</si>
  <si>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</si>
  <si>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</si>
  <si>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</si>
  <si>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</si>
  <si>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</si>
  <si>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</si>
  <si>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</si>
  <si>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</si>
  <si>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</si>
  <si>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</si>
  <si>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</si>
  <si>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</si>
  <si>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</si>
  <si>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</si>
  <si>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</si>
  <si>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</si>
  <si>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</si>
  <si>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</si>
  <si>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</si>
  <si>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</si>
  <si>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</si>
  <si>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</si>
  <si>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</si>
  <si>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</si>
  <si>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</si>
  <si>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</si>
  <si>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</si>
  <si>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</si>
  <si>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</si>
  <si>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</si>
  <si>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</si>
  <si>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</si>
  <si>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</si>
  <si>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</si>
  <si>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</si>
  <si>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</si>
  <si>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</si>
  <si>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</si>
  <si>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</si>
  <si>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</si>
  <si>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</si>
  <si>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</si>
  <si>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</si>
  <si>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</si>
  <si>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</si>
  <si>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</si>
  <si>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</si>
  <si>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</si>
  <si>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</si>
  <si>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</si>
  <si>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</si>
  <si>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</si>
  <si>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</si>
  <si>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</si>
  <si>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</si>
  <si>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</si>
  <si>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</si>
  <si>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</si>
  <si>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</si>
  <si>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</si>
  <si>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</si>
  <si>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</si>
  <si>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</si>
  <si>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</si>
  <si>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</si>
  <si>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</si>
  <si>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</si>
  <si>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</si>
  <si>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</si>
  <si>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</si>
  <si>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</si>
  <si>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</si>
  <si>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</si>
  <si>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</si>
  <si>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</si>
  <si>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</si>
  <si>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</si>
  <si>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</si>
  <si>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</si>
  <si>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</si>
  <si>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</si>
  <si>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</si>
  <si>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</si>
  <si>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</si>
  <si>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</si>
  <si>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</si>
  <si>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</si>
  <si>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</si>
  <si>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</si>
  <si>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</si>
  <si>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</si>
  <si>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</si>
  <si>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</si>
  <si>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</si>
  <si>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</si>
  <si>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</si>
  <si>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</si>
  <si>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</si>
  <si>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</si>
  <si>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</si>
  <si>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</si>
  <si>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</si>
  <si>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</si>
  <si>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</si>
  <si>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</si>
  <si>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</si>
  <si>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</si>
  <si>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</si>
  <si>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</si>
  <si>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</si>
  <si>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</si>
  <si>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</si>
  <si>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</si>
  <si>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</si>
  <si>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</si>
  <si>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</si>
  <si>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</si>
  <si>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</si>
  <si>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</si>
  <si>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</si>
  <si>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</si>
  <si>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</si>
  <si>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</si>
  <si>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</si>
  <si>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</si>
  <si>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</si>
  <si>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</si>
  <si>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</si>
  <si>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</si>
  <si>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</si>
  <si>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</si>
  <si>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</si>
  <si>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</si>
  <si>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</si>
  <si>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</si>
  <si>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</si>
  <si>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</si>
  <si>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</si>
  <si>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</si>
  <si>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</si>
  <si>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</si>
  <si>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</si>
  <si>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</si>
  <si>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</si>
  <si>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</si>
  <si>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</si>
  <si>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</si>
  <si>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</si>
  <si>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</si>
  <si>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</si>
  <si>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</si>
  <si>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</si>
  <si>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</si>
  <si>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</si>
  <si>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</si>
  <si>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</si>
  <si>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</si>
  <si>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</si>
  <si>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</si>
  <si>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</si>
  <si>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</si>
  <si>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</si>
  <si>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</si>
  <si>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</si>
  <si>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</si>
  <si>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</si>
  <si>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</si>
  <si>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</si>
  <si>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</si>
  <si>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</si>
  <si>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</si>
  <si>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</si>
  <si>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</si>
  <si>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</si>
  <si>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</si>
  <si>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</si>
  <si>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</si>
  <si>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</si>
  <si>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</si>
  <si>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</si>
  <si>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</si>
  <si>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</si>
  <si>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</si>
  <si>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</si>
  <si>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</si>
  <si>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</si>
  <si>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</si>
  <si>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</si>
  <si>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</si>
  <si>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</si>
  <si>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</si>
  <si>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</si>
  <si>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</si>
  <si>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</si>
  <si>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</si>
  <si>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</si>
  <si>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</si>
  <si>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</si>
  <si>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</si>
  <si>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</si>
  <si>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</si>
  <si>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</si>
  <si>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</si>
  <si>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</si>
  <si>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</si>
  <si>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</si>
  <si>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</si>
  <si>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</si>
  <si>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</si>
  <si>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</si>
  <si>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</si>
  <si>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</si>
  <si>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</si>
  <si>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</si>
  <si>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</si>
  <si>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</si>
  <si>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</si>
  <si>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</si>
  <si>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</si>
  <si>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</si>
  <si>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</si>
  <si>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</si>
  <si>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</si>
  <si>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</si>
  <si>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</si>
  <si>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</si>
  <si>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</si>
  <si>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</si>
  <si>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</si>
  <si>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</si>
  <si>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</si>
  <si>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</si>
  <si>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</si>
  <si>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</si>
  <si>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</si>
  <si>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</si>
  <si>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</si>
  <si>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</si>
  <si>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</si>
  <si>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</si>
  <si>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</si>
  <si>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</si>
  <si>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</si>
  <si>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</si>
  <si>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</si>
  <si>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</si>
  <si>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</si>
  <si>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</si>
  <si>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</si>
  <si>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</si>
  <si>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</si>
  <si>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</si>
  <si>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</si>
  <si>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</si>
  <si>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</si>
  <si>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</si>
  <si>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</si>
  <si>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</si>
  <si>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</si>
  <si>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</si>
  <si>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</si>
  <si>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</si>
  <si>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</si>
  <si>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</si>
  <si>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</si>
  <si>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</si>
  <si>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</si>
  <si>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</si>
  <si>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</si>
  <si>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</si>
  <si>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</si>
  <si>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</si>
  <si>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</si>
  <si>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</si>
  <si>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</si>
  <si>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</si>
  <si>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</si>
  <si>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</si>
  <si>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</si>
  <si>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</si>
  <si>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</si>
  <si>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</si>
  <si>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</si>
  <si>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</si>
  <si>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</si>
  <si>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</si>
  <si>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</si>
  <si>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</si>
  <si>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</si>
  <si>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</si>
  <si>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</si>
  <si>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</si>
  <si>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</si>
  <si>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</si>
  <si>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</si>
  <si>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</si>
  <si>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</si>
  <si>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</si>
  <si>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</si>
  <si>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</si>
  <si>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</si>
  <si>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</si>
  <si>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</si>
  <si>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</si>
  <si>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</si>
  <si>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</si>
  <si>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</si>
  <si>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</si>
  <si>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</si>
  <si>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</si>
  <si>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</si>
  <si>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</si>
  <si>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</si>
  <si>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</si>
  <si>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</si>
  <si>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</si>
  <si>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</si>
  <si>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</si>
  <si>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</si>
  <si>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</si>
  <si>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</si>
  <si>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</si>
  <si>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</si>
  <si>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</si>
  <si>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</si>
  <si>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</si>
  <si>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</si>
  <si>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</si>
  <si>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</si>
  <si>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</si>
  <si>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</si>
  <si>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</si>
  <si>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</si>
  <si>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</si>
  <si>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</si>
  <si>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</si>
  <si>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</si>
  <si>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</si>
  <si>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</si>
  <si>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</si>
  <si>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</si>
  <si>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</si>
  <si>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</si>
  <si>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</si>
  <si>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</si>
  <si>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</si>
  <si>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</si>
  <si>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</si>
  <si>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</si>
  <si>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</si>
  <si>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</si>
  <si>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</si>
  <si>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</si>
  <si>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</si>
  <si>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</si>
  <si>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</si>
  <si>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</si>
  <si>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</si>
  <si>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</si>
  <si>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</si>
  <si>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</si>
  <si>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</si>
  <si>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</si>
  <si>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</si>
  <si>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</si>
  <si>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</si>
  <si>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</si>
  <si>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</si>
  <si>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</si>
  <si>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</si>
  <si>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</si>
  <si>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</si>
  <si>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</si>
  <si>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</si>
  <si>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</si>
  <si>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</si>
  <si>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</si>
  <si>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</si>
  <si>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</si>
  <si>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</si>
  <si>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</si>
  <si>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</si>
  <si>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</si>
  <si>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</si>
  <si>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</si>
  <si>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</si>
  <si>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</si>
  <si>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</si>
  <si>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</si>
  <si>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</si>
  <si>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</si>
  <si>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</si>
  <si>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</si>
  <si>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</si>
  <si>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</si>
  <si>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</si>
  <si>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</si>
  <si>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</si>
  <si>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</si>
  <si>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</si>
  <si>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</si>
  <si>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</si>
  <si>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</si>
  <si>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</si>
  <si>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</si>
  <si>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</si>
  <si>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</si>
  <si>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</si>
  <si>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</si>
  <si>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</si>
  <si>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</si>
  <si>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</si>
  <si>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</si>
  <si>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</si>
  <si>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</si>
  <si>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</si>
  <si>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</si>
  <si>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</si>
  <si>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</si>
  <si>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</si>
  <si>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</si>
  <si>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</si>
  <si>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</si>
  <si>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</si>
  <si>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</si>
  <si>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</si>
  <si>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</si>
  <si>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</si>
  <si>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</si>
  <si>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</si>
  <si>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</si>
  <si>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</si>
  <si>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</si>
  <si>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</si>
  <si>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</si>
  <si>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</si>
  <si>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</si>
  <si>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</si>
  <si>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</si>
  <si>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</si>
  <si>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</si>
  <si>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</si>
  <si>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</si>
  <si>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</si>
  <si>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</si>
  <si>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</si>
  <si>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</si>
  <si>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</si>
  <si>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</si>
  <si>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</si>
  <si>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</si>
  <si>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</si>
  <si>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</si>
  <si>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</si>
  <si>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</si>
  <si>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</si>
  <si>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</si>
  <si>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</si>
  <si>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</si>
  <si>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</si>
  <si>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</si>
  <si>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</si>
  <si>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</si>
  <si>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</si>
  <si>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</si>
  <si>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</si>
  <si>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</si>
  <si>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</si>
  <si>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</si>
  <si>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</si>
  <si>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</si>
  <si>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</si>
  <si>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</si>
  <si>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</si>
  <si>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</si>
  <si>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</si>
  <si>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</si>
  <si>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</si>
  <si>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</si>
  <si>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</si>
  <si>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</si>
  <si>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</si>
  <si>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</si>
  <si>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</si>
  <si>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</si>
  <si>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</si>
  <si>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</si>
  <si>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</si>
  <si>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</si>
  <si>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</si>
  <si>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</si>
  <si>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</si>
  <si>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</si>
  <si>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</si>
  <si>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</si>
  <si>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</si>
  <si>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</si>
  <si>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</si>
  <si>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</si>
  <si>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</si>
  <si>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</si>
  <si>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</si>
  <si>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</si>
  <si>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</si>
  <si>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</si>
  <si>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</si>
  <si>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</si>
  <si>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</si>
  <si>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</si>
  <si>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</si>
  <si>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</si>
  <si>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</si>
  <si>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</si>
  <si>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</si>
  <si>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</si>
  <si>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</si>
  <si>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</si>
  <si>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</si>
  <si>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</si>
  <si>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</si>
  <si>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</si>
  <si>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</si>
  <si>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</si>
  <si>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</si>
  <si>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</si>
  <si>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</si>
  <si>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</si>
  <si>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</si>
  <si>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</si>
  <si>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</si>
  <si>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</si>
  <si>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</si>
  <si>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</si>
  <si>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</si>
  <si>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</si>
  <si>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</si>
  <si>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</si>
  <si>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</si>
  <si>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</si>
  <si>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</si>
  <si>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</si>
  <si>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</si>
  <si>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</si>
  <si>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</si>
  <si>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</si>
  <si>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</si>
  <si>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</si>
  <si>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</si>
  <si>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</si>
  <si>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</si>
  <si>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</si>
  <si>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</si>
  <si>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</si>
  <si>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</si>
  <si>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</si>
  <si>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</si>
  <si>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</si>
  <si>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</si>
  <si>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</si>
  <si>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</si>
  <si>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</si>
  <si>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</si>
  <si>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</si>
  <si>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</si>
  <si>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</si>
  <si>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</si>
  <si>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</si>
  <si>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</si>
  <si>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</si>
  <si>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</si>
  <si>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</si>
  <si>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</si>
  <si>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</si>
  <si>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</si>
  <si>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</si>
  <si>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</si>
  <si>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</si>
  <si>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</si>
  <si>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</si>
  <si>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</si>
  <si>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</si>
  <si>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</si>
  <si>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</si>
  <si>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</si>
  <si>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</si>
  <si>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</si>
  <si>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</si>
  <si>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</si>
  <si>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</si>
  <si>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</si>
  <si>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</si>
  <si>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</si>
  <si>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</si>
  <si>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</si>
  <si>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</si>
  <si>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</si>
  <si>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</si>
  <si>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</si>
  <si>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</si>
  <si>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</si>
  <si>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</si>
  <si>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</si>
  <si>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</si>
  <si>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</si>
  <si>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</si>
  <si>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</si>
  <si>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</si>
  <si>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</si>
  <si>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</si>
  <si>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</si>
  <si>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</si>
  <si>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</si>
  <si>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</si>
  <si>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</si>
  <si>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</si>
  <si>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</si>
  <si>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</si>
  <si>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</si>
  <si>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</si>
  <si>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</si>
  <si>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</si>
  <si>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</si>
  <si>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</si>
  <si>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</si>
  <si>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</si>
  <si>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</si>
  <si>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</si>
  <si>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</si>
  <si>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</si>
  <si>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</si>
  <si>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</si>
  <si>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</si>
  <si>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</si>
  <si>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</si>
  <si>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</si>
  <si>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</si>
  <si>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</si>
  <si>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</si>
  <si>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</si>
  <si>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</si>
  <si>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</si>
  <si>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</si>
  <si>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</si>
  <si>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</si>
  <si>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</si>
  <si>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</si>
  <si>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</si>
  <si>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</si>
  <si>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</si>
  <si>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</si>
  <si>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</si>
  <si>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</si>
  <si>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</si>
  <si>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</si>
  <si>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</si>
  <si>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</si>
  <si>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</si>
  <si>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</si>
  <si>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</si>
  <si>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</si>
  <si>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</si>
  <si>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</si>
  <si>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</si>
  <si>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</si>
  <si>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</si>
  <si>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</si>
  <si>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</si>
  <si>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</si>
  <si>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</si>
  <si>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</si>
  <si>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</si>
  <si>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</si>
  <si>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</si>
  <si>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</si>
  <si>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</si>
  <si>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</si>
  <si>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</si>
  <si>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</si>
  <si>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</si>
  <si>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</si>
  <si>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TEHNOGAS-KAKMUŽ AD PETROVO</t>
  </si>
  <si>
    <t>PETROVO</t>
  </si>
  <si>
    <t>2,A1)</t>
  </si>
  <si>
    <t>Kakmužu</t>
  </si>
  <si>
    <t>Žarko Tripunović</t>
  </si>
  <si>
    <t>Mladen Ristić</t>
  </si>
  <si>
    <t>Lugovi b.b., Kakmuž</t>
  </si>
  <si>
    <t>info@soltgp.ba</t>
  </si>
  <si>
    <t>SR-1138/23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</si>
</sst>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8">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3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3"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8620" y="47625"/>
          <a:ext cx="11317605" cy="653415"/>
          <a:chOff x="7343770" y="3810023"/>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3"/>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Balance Sheet</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Income Statement</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Report on other gains and losses of the period </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Cash Flow Statement</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Annex</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Statement on Changes in Equity</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Basic Data</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Instructions</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716093" cy="81570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Balance Sheet</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Income Statement</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Report on other gains and losses of the period </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Cash Flow Statement</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Annex</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Statement on Changes in Equity</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Basic Data</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Instructions</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68580</xdr:colOff>
          <xdr:row>3</xdr:row>
          <xdr:rowOff>152400</xdr:rowOff>
        </xdr:from>
        <xdr:to>
          <xdr:col>9</xdr:col>
          <xdr:colOff>137160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75</xdr:row>
          <xdr:rowOff>0</xdr:rowOff>
        </xdr:from>
        <xdr:to>
          <xdr:col>4</xdr:col>
          <xdr:colOff>175260</xdr:colOff>
          <xdr:row>76</xdr:row>
          <xdr:rowOff>45720</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61</xdr:row>
          <xdr:rowOff>0</xdr:rowOff>
        </xdr:from>
        <xdr:to>
          <xdr:col>4</xdr:col>
          <xdr:colOff>175260</xdr:colOff>
          <xdr:row>62</xdr:row>
          <xdr:rowOff>45720</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45720</xdr:rowOff>
        </xdr:from>
        <xdr:to>
          <xdr:col>11</xdr:col>
          <xdr:colOff>106680</xdr:colOff>
          <xdr:row>64</xdr:row>
          <xdr:rowOff>22860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99060</xdr:colOff>
          <xdr:row>0</xdr:row>
          <xdr:rowOff>0</xdr:rowOff>
        </xdr:from>
        <xdr:to>
          <xdr:col>12</xdr:col>
          <xdr:colOff>152400</xdr:colOff>
          <xdr:row>3</xdr:row>
          <xdr:rowOff>106680</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Income Statement</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Report on other gains and losses of the period </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Cash Flow Statement</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Annex</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Statement on Changes in Equity</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Basic Data</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Instructions</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Balance Sheet</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xdr:colOff>
          <xdr:row>0</xdr:row>
          <xdr:rowOff>7620</xdr:rowOff>
        </xdr:from>
        <xdr:to>
          <xdr:col>16384</xdr:col>
          <xdr:colOff>0</xdr:colOff>
          <xdr:row>4</xdr:row>
          <xdr:rowOff>60960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Balance Sheet</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Income Statement</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Report on other gains and losses of the period </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Cash Flow Statement</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Annex</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Statement on Changes in Equity</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Basic Data</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Instructions</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xdr:colOff>
          <xdr:row>0</xdr:row>
          <xdr:rowOff>45720</xdr:rowOff>
        </xdr:from>
        <xdr:to>
          <xdr:col>13</xdr:col>
          <xdr:colOff>0</xdr:colOff>
          <xdr:row>4</xdr:row>
          <xdr:rowOff>22860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Balance Sheet</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Income Statement</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Report on other gains and losses of the period </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Cash Flow Statement</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Annex</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Statement on Changes in Equity</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Basic Data</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Instructions</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822620" cy="607109"/>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Balance Sheet</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Income Statement</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Report on other gains and losses of the period </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Cash Flow Statement</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Annex</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Statement on Changes in Equity</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Basic Data</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Instructions</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0</xdr:row>
          <xdr:rowOff>38100</xdr:rowOff>
        </xdr:from>
        <xdr:to>
          <xdr:col>10</xdr:col>
          <xdr:colOff>845820</xdr:colOff>
          <xdr:row>3</xdr:row>
          <xdr:rowOff>144780</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Balance Sheet</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Income Statement</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Report on other gains and losses of the period </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Cash Flow Statement</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Annex</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Statement on Changes in Equity</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Basic Data</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Instructions</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94335" y="47625"/>
          <a:ext cx="12037695" cy="630555"/>
          <a:chOff x="7343770" y="380952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2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GB" sz="800" b="0" i="0" u="none" strike="noStrike" baseline="0">
                    <a:solidFill>
                      <a:srgbClr val="000000"/>
                    </a:solidFill>
                    <a:latin typeface="Segoe UI"/>
                    <a:cs typeface="Segoe UI"/>
                  </a:rPr>
                  <a:t>Navigation</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Balance Sheet</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Income Statement</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Report on other gains and losses of the period </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Cash Flow Statement</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Annex</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Statement on Changes in Equity</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Basic Data</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Instructions</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2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21" dataCellStyle="Normal">
      <calculatedColumnFormula>CHOOSE( ID_Jezik, C2, D2, E2,F2)</calculatedColumnFormula>
    </tableColumn>
    <tableColumn id="7" xr3:uid="{00000000-0010-0000-0000-000007000000}" name="Kolona za pravljenje imena" dataDxfId="220" dataCellStyle="Normal">
      <calculatedColumnFormula>SUBSTITUTE(A2&amp;"_"&amp;B2," ","_")</calculatedColumnFormula>
    </tableColumn>
    <tableColumn id="8" xr3:uid="{00000000-0010-0000-0000-000008000000}" name="Kontrola broj" dataDxfId="21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45" activePane="bottomLeft" state="frozen"/>
      <selection activeCell="S33" sqref="S33"/>
      <selection pane="bottomLeft" activeCell="K21" sqref="K21"/>
    </sheetView>
  </sheetViews>
  <sheetFormatPr defaultColWidth="0" defaultRowHeight="13.8" zeroHeight="1" x14ac:dyDescent="0.3"/>
  <cols>
    <col min="1" max="1" width="5.6640625" style="8" customWidth="1"/>
    <col min="2" max="4" width="10.44140625" style="8" customWidth="1"/>
    <col min="5" max="17" width="9.44140625" style="8" customWidth="1"/>
    <col min="18" max="22" width="9.109375" style="8" customWidth="1"/>
    <col min="23" max="16384" width="0" style="8" hidden="1"/>
  </cols>
  <sheetData>
    <row r="1" spans="2:21" x14ac:dyDescent="0.3">
      <c r="B1" s="18"/>
      <c r="C1" s="18"/>
      <c r="D1" s="18"/>
      <c r="E1" s="18"/>
      <c r="F1" s="18"/>
      <c r="G1" s="18"/>
      <c r="H1" s="18"/>
      <c r="I1" s="18"/>
      <c r="J1" s="18"/>
      <c r="K1" s="18"/>
      <c r="L1" s="18"/>
      <c r="M1" s="18"/>
      <c r="N1" s="18"/>
      <c r="O1" s="18"/>
      <c r="P1" s="18"/>
      <c r="Q1" s="18"/>
    </row>
    <row r="2" spans="2:21" x14ac:dyDescent="0.3">
      <c r="B2" s="18"/>
      <c r="C2" s="18"/>
      <c r="D2" s="18"/>
      <c r="E2" s="18"/>
      <c r="F2" s="18"/>
      <c r="G2" s="18"/>
      <c r="H2" s="18"/>
      <c r="I2" s="18"/>
      <c r="J2" s="18"/>
      <c r="K2" s="18"/>
      <c r="L2" s="18"/>
      <c r="M2" s="18"/>
      <c r="N2" s="18"/>
      <c r="O2" s="18"/>
      <c r="P2" s="18"/>
      <c r="Q2" s="18"/>
    </row>
    <row r="3" spans="2:21" x14ac:dyDescent="0.3">
      <c r="B3" s="18"/>
      <c r="C3" s="18"/>
      <c r="D3" s="18"/>
      <c r="E3" s="18"/>
      <c r="F3" s="18"/>
      <c r="G3" s="18"/>
      <c r="H3" s="18"/>
      <c r="I3" s="18"/>
      <c r="J3" s="18"/>
      <c r="K3" s="18"/>
      <c r="L3" s="18"/>
      <c r="M3" s="18"/>
      <c r="N3" s="18"/>
      <c r="O3" s="18"/>
      <c r="P3" s="18"/>
      <c r="Q3" s="18"/>
    </row>
    <row r="4" spans="2:21" x14ac:dyDescent="0.3">
      <c r="B4" s="18"/>
      <c r="C4" s="18"/>
      <c r="D4" s="18"/>
      <c r="E4" s="18"/>
      <c r="F4" s="18"/>
      <c r="G4" s="18"/>
      <c r="H4" s="18"/>
      <c r="I4" s="18"/>
      <c r="J4" s="18"/>
      <c r="K4" s="18"/>
      <c r="L4" s="18"/>
      <c r="M4" s="18"/>
      <c r="N4" s="18"/>
      <c r="O4" s="18"/>
      <c r="P4" s="18"/>
      <c r="Q4" s="18"/>
    </row>
    <row r="5" spans="2:21" ht="18" x14ac:dyDescent="0.3">
      <c r="B5" s="576" t="s">
        <v>58</v>
      </c>
      <c r="C5" s="576"/>
      <c r="D5" s="576"/>
      <c r="E5" s="576"/>
      <c r="F5" s="576"/>
      <c r="G5" s="576"/>
      <c r="H5" s="576"/>
      <c r="I5" s="576"/>
      <c r="J5" s="576"/>
      <c r="K5" s="576"/>
      <c r="L5" s="576"/>
      <c r="M5" s="576"/>
      <c r="N5" s="576"/>
      <c r="O5" s="576"/>
      <c r="P5" s="576"/>
      <c r="Q5" s="576"/>
      <c r="R5" s="576"/>
      <c r="S5" s="576"/>
      <c r="T5" s="576"/>
      <c r="U5" s="576"/>
    </row>
    <row r="6" spans="2:21" ht="18" x14ac:dyDescent="0.3">
      <c r="B6" s="144" t="s">
        <v>491</v>
      </c>
      <c r="C6" s="145"/>
      <c r="D6" s="145"/>
      <c r="E6" s="145"/>
      <c r="F6" s="145"/>
      <c r="G6" s="145"/>
      <c r="H6" s="145"/>
      <c r="I6" s="145"/>
      <c r="J6" s="145"/>
      <c r="K6" s="145"/>
      <c r="L6" s="145"/>
      <c r="M6" s="145"/>
      <c r="N6" s="145"/>
      <c r="O6" s="145"/>
      <c r="P6" s="145"/>
      <c r="Q6" s="145"/>
    </row>
    <row r="7" spans="2:21" ht="14.4" x14ac:dyDescent="0.3">
      <c r="B7" s="143" t="s">
        <v>308</v>
      </c>
      <c r="C7" s="18"/>
      <c r="D7" s="18"/>
      <c r="E7" s="18"/>
      <c r="F7" s="18"/>
      <c r="G7" s="18"/>
      <c r="H7" s="18"/>
      <c r="I7" s="18"/>
      <c r="J7" s="18"/>
      <c r="K7" s="18"/>
      <c r="L7" s="18"/>
      <c r="M7" s="18"/>
      <c r="N7" s="18"/>
      <c r="O7" s="18"/>
      <c r="P7" s="18"/>
      <c r="Q7" s="18"/>
    </row>
    <row r="8" spans="2:21" ht="14.4" x14ac:dyDescent="0.3">
      <c r="B8" s="422" t="s">
        <v>2743</v>
      </c>
      <c r="C8" s="423"/>
      <c r="D8" s="423"/>
      <c r="E8" s="423"/>
      <c r="F8" s="423"/>
      <c r="G8" s="423"/>
      <c r="H8" s="18"/>
      <c r="I8" s="18"/>
      <c r="J8" s="18"/>
      <c r="K8" s="18"/>
      <c r="L8" s="18"/>
      <c r="M8" s="18"/>
      <c r="N8" s="18"/>
      <c r="O8" s="18"/>
      <c r="P8" s="18"/>
      <c r="Q8" s="18"/>
    </row>
    <row r="9" spans="2:21" ht="14.4" x14ac:dyDescent="0.3">
      <c r="B9" s="143" t="s">
        <v>314</v>
      </c>
      <c r="C9" s="18"/>
      <c r="D9" s="18"/>
      <c r="E9" s="18"/>
      <c r="F9" s="18"/>
      <c r="G9" s="18"/>
      <c r="H9" s="18"/>
      <c r="I9" s="18"/>
      <c r="J9" s="18"/>
      <c r="K9" s="18"/>
      <c r="L9" s="18"/>
      <c r="M9" s="18"/>
      <c r="N9" s="18"/>
      <c r="O9" s="18"/>
      <c r="P9" s="18"/>
      <c r="Q9" s="18"/>
    </row>
    <row r="10" spans="2:21" ht="14.4" x14ac:dyDescent="0.3">
      <c r="B10" s="143" t="s">
        <v>758</v>
      </c>
      <c r="C10" s="18"/>
      <c r="D10" s="18"/>
      <c r="E10" s="18"/>
      <c r="F10" s="18"/>
      <c r="G10" s="18"/>
      <c r="H10" s="18"/>
      <c r="I10" s="18"/>
      <c r="J10" s="18"/>
      <c r="K10" s="18"/>
      <c r="L10" s="18"/>
      <c r="M10" s="18"/>
      <c r="N10" s="18"/>
      <c r="O10" s="18"/>
      <c r="P10" s="18"/>
      <c r="Q10" s="18"/>
    </row>
    <row r="11" spans="2:21" ht="14.4" x14ac:dyDescent="0.3">
      <c r="B11" s="143"/>
      <c r="C11" s="18"/>
      <c r="D11" s="18"/>
      <c r="E11" s="18"/>
      <c r="F11" s="18"/>
      <c r="G11" s="18"/>
      <c r="H11" s="18"/>
      <c r="I11" s="18"/>
      <c r="J11" s="18"/>
      <c r="K11" s="18"/>
      <c r="L11" s="18"/>
      <c r="M11" s="18"/>
      <c r="N11" s="18"/>
      <c r="O11" s="18"/>
      <c r="P11" s="18"/>
      <c r="Q11" s="18"/>
    </row>
    <row r="12" spans="2:21" ht="14.4" x14ac:dyDescent="0.3">
      <c r="B12" s="144" t="s">
        <v>493</v>
      </c>
      <c r="C12" s="18"/>
      <c r="D12" s="18"/>
      <c r="E12" s="18"/>
      <c r="F12" s="18"/>
      <c r="G12" s="18"/>
      <c r="H12" s="18"/>
      <c r="I12" s="18"/>
      <c r="J12" s="18"/>
      <c r="K12" s="18"/>
      <c r="L12" s="18"/>
      <c r="M12" s="18"/>
      <c r="N12" s="18"/>
      <c r="O12" s="18"/>
      <c r="P12" s="18"/>
      <c r="Q12" s="18"/>
    </row>
    <row r="13" spans="2:21" ht="14.4" x14ac:dyDescent="0.3">
      <c r="B13" s="143" t="s">
        <v>492</v>
      </c>
      <c r="C13" s="18"/>
      <c r="D13" s="18"/>
      <c r="E13" s="18"/>
      <c r="F13" s="18"/>
      <c r="G13" s="18"/>
      <c r="H13" s="18"/>
      <c r="I13" s="18"/>
      <c r="J13" s="18"/>
      <c r="K13" s="18"/>
      <c r="L13" s="18"/>
      <c r="M13" s="18"/>
      <c r="N13" s="18"/>
      <c r="O13" s="18"/>
      <c r="P13" s="18"/>
      <c r="Q13" s="18"/>
    </row>
    <row r="14" spans="2:21" ht="14.4" x14ac:dyDescent="0.3">
      <c r="B14" s="143"/>
      <c r="C14" s="18"/>
      <c r="D14" s="18"/>
      <c r="E14" s="18"/>
      <c r="F14" s="18"/>
      <c r="G14" s="18"/>
      <c r="H14" s="18"/>
      <c r="I14" s="18"/>
      <c r="J14" s="18"/>
      <c r="K14" s="18"/>
      <c r="L14" s="18"/>
      <c r="M14" s="18"/>
      <c r="N14" s="18"/>
      <c r="O14" s="18"/>
      <c r="P14" s="18"/>
      <c r="Q14" s="18"/>
    </row>
    <row r="15" spans="2:21" ht="14.4" x14ac:dyDescent="0.3">
      <c r="B15" s="214" t="s">
        <v>21</v>
      </c>
      <c r="C15" s="215"/>
      <c r="D15" s="215"/>
      <c r="E15" s="215"/>
      <c r="F15" s="215"/>
      <c r="G15" s="215"/>
      <c r="H15" s="215"/>
      <c r="I15" s="215"/>
      <c r="J15" s="215"/>
      <c r="K15" s="215"/>
      <c r="L15" s="215"/>
      <c r="M15" s="216"/>
      <c r="N15" s="18"/>
      <c r="O15" s="18"/>
      <c r="P15" s="18"/>
      <c r="Q15" s="18"/>
    </row>
    <row r="16" spans="2:21" ht="14.4" x14ac:dyDescent="0.3">
      <c r="B16" s="217" t="s">
        <v>25</v>
      </c>
      <c r="C16" s="138"/>
      <c r="D16" s="138"/>
      <c r="E16" s="138"/>
      <c r="F16" s="138"/>
      <c r="G16" s="138"/>
      <c r="H16" s="138"/>
      <c r="I16" s="138"/>
      <c r="J16" s="138"/>
      <c r="K16" s="138"/>
      <c r="L16" s="138"/>
      <c r="M16" s="218"/>
      <c r="N16" s="18"/>
      <c r="O16" s="18"/>
      <c r="P16" s="18"/>
      <c r="Q16" s="18"/>
    </row>
    <row r="17" spans="2:17" ht="14.4" x14ac:dyDescent="0.3">
      <c r="B17" s="219" t="s">
        <v>22</v>
      </c>
      <c r="C17" s="138"/>
      <c r="D17" s="138"/>
      <c r="E17" s="138"/>
      <c r="F17" s="138"/>
      <c r="G17" s="138"/>
      <c r="H17" s="138"/>
      <c r="I17" s="138"/>
      <c r="J17" s="138"/>
      <c r="K17" s="138"/>
      <c r="L17" s="138"/>
      <c r="M17" s="218"/>
      <c r="N17" s="18"/>
      <c r="O17" s="18"/>
      <c r="P17" s="18"/>
      <c r="Q17" s="18"/>
    </row>
    <row r="18" spans="2:17" ht="14.4" x14ac:dyDescent="0.3">
      <c r="B18" s="220" t="s">
        <v>23</v>
      </c>
      <c r="C18" s="221"/>
      <c r="D18" s="221"/>
      <c r="E18" s="221"/>
      <c r="F18" s="221"/>
      <c r="G18" s="221"/>
      <c r="H18" s="221"/>
      <c r="I18" s="221"/>
      <c r="J18" s="221"/>
      <c r="K18" s="221"/>
      <c r="L18" s="221"/>
      <c r="M18" s="222"/>
      <c r="N18" s="18"/>
      <c r="O18" s="18"/>
      <c r="P18" s="18"/>
      <c r="Q18" s="18"/>
    </row>
    <row r="19" spans="2:17" x14ac:dyDescent="0.3">
      <c r="C19" s="18"/>
      <c r="D19" s="18"/>
      <c r="E19" s="18"/>
      <c r="F19" s="18"/>
      <c r="G19" s="18"/>
      <c r="H19" s="18"/>
      <c r="I19" s="18"/>
      <c r="J19" s="18"/>
      <c r="K19" s="18"/>
      <c r="L19" s="18"/>
      <c r="M19" s="18"/>
      <c r="N19" s="18"/>
      <c r="O19" s="18"/>
      <c r="P19" s="18"/>
      <c r="Q19" s="18"/>
    </row>
    <row r="20" spans="2:17" ht="14.4" x14ac:dyDescent="0.3">
      <c r="B20" s="144" t="s">
        <v>16</v>
      </c>
      <c r="C20" s="18"/>
      <c r="D20" s="18"/>
      <c r="E20" s="18"/>
      <c r="F20" s="18"/>
      <c r="G20" s="18"/>
      <c r="H20" s="18"/>
      <c r="I20" s="18"/>
      <c r="J20" s="18"/>
      <c r="K20" s="18"/>
      <c r="L20" s="18"/>
      <c r="M20" s="18"/>
      <c r="N20" s="18"/>
      <c r="O20" s="18"/>
      <c r="P20" s="18"/>
      <c r="Q20" s="18"/>
    </row>
    <row r="21" spans="2:17" ht="14.4" x14ac:dyDescent="0.3">
      <c r="B21" s="143" t="s">
        <v>2736</v>
      </c>
      <c r="C21" s="18"/>
      <c r="D21" s="18"/>
      <c r="E21" s="18"/>
      <c r="F21" s="18"/>
      <c r="G21" s="18"/>
      <c r="H21" s="18"/>
      <c r="I21" s="18"/>
      <c r="J21" s="18"/>
      <c r="K21" s="18"/>
      <c r="L21" s="18"/>
      <c r="M21" s="18"/>
      <c r="N21" s="18"/>
      <c r="O21" s="18"/>
      <c r="P21" s="18"/>
      <c r="Q21" s="18"/>
    </row>
    <row r="22" spans="2:17" ht="14.4" x14ac:dyDescent="0.3">
      <c r="B22" s="143" t="s">
        <v>2737</v>
      </c>
      <c r="C22" s="18"/>
      <c r="D22" s="18"/>
      <c r="E22" s="18"/>
      <c r="F22" s="18"/>
      <c r="G22" s="18"/>
      <c r="H22" s="18"/>
      <c r="I22" s="18"/>
      <c r="J22" s="18"/>
      <c r="K22" s="18"/>
      <c r="L22" s="18"/>
      <c r="M22" s="18"/>
      <c r="N22" s="18"/>
      <c r="O22" s="18"/>
      <c r="P22" s="18"/>
      <c r="Q22" s="18"/>
    </row>
    <row r="23" spans="2:17" ht="14.4" x14ac:dyDescent="0.3">
      <c r="B23" s="146" t="s">
        <v>2741</v>
      </c>
      <c r="C23" s="18"/>
      <c r="D23" s="18"/>
      <c r="E23" s="18"/>
      <c r="F23" s="18"/>
      <c r="G23" s="18"/>
      <c r="H23" s="18"/>
      <c r="I23" s="18"/>
      <c r="J23" s="18"/>
      <c r="K23" s="18"/>
      <c r="L23" s="18"/>
      <c r="M23" s="18"/>
      <c r="N23" s="18"/>
      <c r="O23" s="18"/>
      <c r="P23" s="18"/>
      <c r="Q23" s="18"/>
    </row>
    <row r="24" spans="2:17" ht="14.4" x14ac:dyDescent="0.3">
      <c r="B24" s="143"/>
      <c r="C24" s="18"/>
      <c r="D24" s="18"/>
      <c r="E24" s="18"/>
      <c r="F24" s="18"/>
      <c r="G24" s="18"/>
      <c r="H24" s="18"/>
      <c r="I24" s="18"/>
      <c r="J24" s="18"/>
      <c r="K24" s="18"/>
      <c r="L24" s="18"/>
      <c r="M24" s="18"/>
      <c r="N24" s="18"/>
      <c r="O24" s="18"/>
      <c r="P24" s="18"/>
      <c r="Q24" s="18"/>
    </row>
    <row r="25" spans="2:17" ht="14.4" x14ac:dyDescent="0.3">
      <c r="B25" s="144" t="s">
        <v>17</v>
      </c>
      <c r="C25" s="18"/>
      <c r="D25" s="18"/>
      <c r="E25" s="18"/>
      <c r="F25" s="18"/>
      <c r="G25" s="18"/>
      <c r="H25" s="18"/>
      <c r="I25" s="18"/>
      <c r="J25" s="18"/>
      <c r="K25" s="18"/>
      <c r="L25" s="18"/>
      <c r="M25" s="18"/>
      <c r="N25" s="18"/>
      <c r="O25" s="18"/>
      <c r="P25" s="18"/>
      <c r="Q25" s="18"/>
    </row>
    <row r="26" spans="2:17" ht="14.4" x14ac:dyDescent="0.3">
      <c r="B26" s="143" t="s">
        <v>2738</v>
      </c>
      <c r="C26" s="18"/>
      <c r="D26" s="18"/>
      <c r="E26" s="18"/>
      <c r="F26" s="18"/>
      <c r="G26" s="18"/>
      <c r="H26" s="18"/>
      <c r="I26" s="18"/>
      <c r="J26" s="18"/>
      <c r="K26" s="18"/>
      <c r="L26" s="18"/>
      <c r="M26" s="18"/>
      <c r="N26" s="18"/>
      <c r="O26" s="18"/>
      <c r="P26" s="18"/>
      <c r="Q26" s="18"/>
    </row>
    <row r="27" spans="2:17" ht="14.4" x14ac:dyDescent="0.3">
      <c r="B27" s="143"/>
      <c r="C27" s="18"/>
      <c r="D27" s="18"/>
      <c r="E27" s="18"/>
      <c r="F27" s="18"/>
      <c r="G27" s="18"/>
      <c r="H27" s="18"/>
      <c r="I27" s="18"/>
      <c r="J27" s="18"/>
      <c r="K27" s="18"/>
      <c r="L27" s="18"/>
      <c r="M27" s="18"/>
      <c r="N27" s="18"/>
      <c r="O27" s="18"/>
      <c r="P27" s="18"/>
      <c r="Q27" s="18"/>
    </row>
    <row r="28" spans="2:17" ht="14.4" x14ac:dyDescent="0.3">
      <c r="B28" s="144" t="s">
        <v>2911</v>
      </c>
      <c r="C28" s="18"/>
      <c r="D28" s="18"/>
      <c r="E28" s="18"/>
      <c r="F28" s="18"/>
      <c r="G28" s="18"/>
      <c r="H28" s="18"/>
      <c r="I28" s="18"/>
      <c r="J28" s="18"/>
      <c r="K28" s="18"/>
      <c r="L28" s="18"/>
      <c r="M28" s="18"/>
      <c r="N28" s="18"/>
      <c r="O28" s="18"/>
      <c r="P28" s="18"/>
      <c r="Q28" s="18"/>
    </row>
    <row r="29" spans="2:17" ht="14.4" x14ac:dyDescent="0.3">
      <c r="B29" s="143" t="s">
        <v>2910</v>
      </c>
      <c r="C29" s="18"/>
      <c r="D29" s="18"/>
      <c r="E29" s="18"/>
      <c r="F29" s="18"/>
      <c r="G29" s="18"/>
      <c r="H29" s="18"/>
      <c r="I29" s="18"/>
      <c r="J29" s="18"/>
      <c r="K29" s="18"/>
      <c r="L29" s="18"/>
      <c r="M29" s="18"/>
      <c r="N29" s="18"/>
      <c r="O29" s="18"/>
      <c r="P29" s="18"/>
      <c r="Q29" s="18"/>
    </row>
    <row r="30" spans="2:17" ht="14.4" x14ac:dyDescent="0.3">
      <c r="B30" s="143"/>
      <c r="C30" s="18"/>
      <c r="D30" s="18"/>
      <c r="E30" s="18"/>
      <c r="F30" s="18"/>
      <c r="G30" s="18"/>
      <c r="H30" s="18"/>
      <c r="I30" s="18"/>
      <c r="J30" s="18"/>
      <c r="K30" s="18"/>
      <c r="L30" s="18"/>
      <c r="M30" s="18"/>
      <c r="N30" s="18"/>
      <c r="O30" s="18"/>
      <c r="P30" s="18"/>
      <c r="Q30" s="18"/>
    </row>
    <row r="31" spans="2:17" ht="14.4" x14ac:dyDescent="0.3">
      <c r="B31" s="144" t="s">
        <v>18</v>
      </c>
      <c r="C31" s="18"/>
      <c r="D31" s="18"/>
      <c r="E31" s="18"/>
      <c r="F31" s="18"/>
      <c r="G31" s="18"/>
      <c r="H31" s="18"/>
      <c r="I31" s="18"/>
      <c r="J31" s="18"/>
      <c r="K31" s="18"/>
      <c r="L31" s="18"/>
      <c r="M31" s="18"/>
      <c r="N31" s="18"/>
      <c r="O31" s="18"/>
      <c r="P31" s="18"/>
      <c r="Q31" s="18"/>
    </row>
    <row r="32" spans="2:17" ht="14.4" x14ac:dyDescent="0.3">
      <c r="B32" s="143" t="s">
        <v>2739</v>
      </c>
      <c r="C32" s="18"/>
      <c r="D32" s="18"/>
      <c r="E32" s="18"/>
      <c r="F32" s="18"/>
      <c r="G32" s="18"/>
      <c r="H32" s="18"/>
      <c r="I32" s="18"/>
      <c r="J32" s="18"/>
      <c r="K32" s="18"/>
      <c r="L32" s="18"/>
      <c r="M32" s="18"/>
      <c r="N32" s="18"/>
      <c r="O32" s="18"/>
      <c r="P32" s="18"/>
      <c r="Q32" s="18"/>
    </row>
    <row r="33" spans="2:21" ht="14.4" x14ac:dyDescent="0.3">
      <c r="B33" s="143"/>
      <c r="C33" s="18"/>
      <c r="D33" s="18"/>
      <c r="E33" s="18"/>
      <c r="F33" s="18"/>
      <c r="G33" s="18"/>
      <c r="H33" s="18"/>
      <c r="I33" s="18"/>
      <c r="J33" s="18"/>
      <c r="K33" s="18"/>
      <c r="L33" s="18"/>
      <c r="M33" s="18"/>
      <c r="N33" s="18"/>
      <c r="O33" s="18"/>
      <c r="P33" s="18"/>
      <c r="Q33" s="18"/>
    </row>
    <row r="34" spans="2:21" ht="14.4" x14ac:dyDescent="0.3">
      <c r="B34" s="144" t="s">
        <v>134</v>
      </c>
      <c r="C34" s="18"/>
      <c r="D34" s="18"/>
      <c r="E34" s="18"/>
      <c r="F34" s="18"/>
      <c r="G34" s="18"/>
      <c r="H34" s="18"/>
      <c r="I34" s="18"/>
      <c r="J34" s="18"/>
      <c r="K34" s="18"/>
      <c r="L34" s="18"/>
      <c r="M34" s="18"/>
      <c r="N34" s="18"/>
      <c r="O34" s="18"/>
      <c r="P34" s="18"/>
      <c r="Q34" s="18"/>
    </row>
    <row r="35" spans="2:21" ht="14.4" x14ac:dyDescent="0.3">
      <c r="B35" s="143" t="s">
        <v>759</v>
      </c>
      <c r="C35" s="18"/>
      <c r="D35" s="18"/>
      <c r="E35" s="18"/>
      <c r="F35" s="18"/>
      <c r="G35" s="18"/>
      <c r="H35" s="18"/>
      <c r="I35" s="18"/>
      <c r="J35" s="18"/>
      <c r="K35" s="18"/>
      <c r="L35" s="18"/>
      <c r="M35" s="18"/>
      <c r="N35" s="18"/>
      <c r="O35" s="18"/>
      <c r="P35" s="18"/>
      <c r="Q35" s="18"/>
    </row>
    <row r="36" spans="2:21" ht="14.4" x14ac:dyDescent="0.3">
      <c r="B36" s="143"/>
      <c r="C36" s="18"/>
      <c r="D36" s="18"/>
      <c r="E36" s="18"/>
      <c r="F36" s="18"/>
      <c r="G36" s="18"/>
      <c r="H36" s="18"/>
      <c r="I36" s="18"/>
      <c r="J36" s="18"/>
      <c r="K36" s="18"/>
      <c r="L36" s="18"/>
      <c r="M36" s="18"/>
      <c r="N36" s="18"/>
      <c r="O36" s="18"/>
      <c r="P36" s="18"/>
      <c r="Q36" s="18"/>
    </row>
    <row r="37" spans="2:21" ht="14.4" x14ac:dyDescent="0.3">
      <c r="B37" s="144" t="s">
        <v>494</v>
      </c>
      <c r="C37" s="18"/>
      <c r="D37" s="18"/>
      <c r="E37" s="18"/>
      <c r="F37" s="18"/>
      <c r="G37" s="18"/>
      <c r="H37" s="18"/>
      <c r="I37" s="18"/>
      <c r="J37" s="18"/>
      <c r="K37" s="18"/>
      <c r="L37" s="18"/>
      <c r="M37" s="18"/>
      <c r="N37" s="18"/>
      <c r="O37" s="18"/>
      <c r="P37" s="18"/>
      <c r="Q37" s="18"/>
    </row>
    <row r="38" spans="2:21" ht="14.4" x14ac:dyDescent="0.3">
      <c r="B38" s="143" t="s">
        <v>31</v>
      </c>
      <c r="C38" s="18"/>
      <c r="D38" s="18"/>
      <c r="E38" s="18"/>
      <c r="F38" s="18"/>
      <c r="G38" s="18"/>
      <c r="H38" s="18"/>
      <c r="I38" s="18"/>
      <c r="J38" s="18"/>
      <c r="K38" s="18"/>
      <c r="L38" s="18"/>
      <c r="M38" s="18"/>
      <c r="N38" s="18"/>
      <c r="O38" s="18"/>
      <c r="P38" s="18"/>
      <c r="Q38" s="18"/>
    </row>
    <row r="39" spans="2:21" ht="14.4" x14ac:dyDescent="0.3">
      <c r="B39" s="143" t="s">
        <v>57</v>
      </c>
      <c r="C39" s="18"/>
      <c r="D39" s="18"/>
      <c r="E39" s="18"/>
      <c r="F39" s="18"/>
      <c r="G39" s="18"/>
      <c r="H39" s="18"/>
      <c r="I39" s="18"/>
      <c r="J39" s="18"/>
      <c r="K39" s="18"/>
      <c r="L39" s="18"/>
      <c r="M39" s="18"/>
      <c r="N39" s="18"/>
      <c r="O39" s="18"/>
      <c r="P39" s="18"/>
      <c r="Q39" s="18"/>
    </row>
    <row r="40" spans="2:21" ht="14.4" x14ac:dyDescent="0.3">
      <c r="B40" s="143" t="s">
        <v>2742</v>
      </c>
      <c r="C40" s="18"/>
      <c r="D40" s="18"/>
      <c r="E40" s="18"/>
      <c r="F40" s="18"/>
      <c r="G40" s="18"/>
      <c r="H40" s="18"/>
      <c r="I40" s="18"/>
      <c r="J40" s="18"/>
      <c r="K40" s="18"/>
      <c r="L40" s="18"/>
      <c r="M40" s="18"/>
      <c r="N40" s="18"/>
      <c r="O40" s="18"/>
      <c r="P40" s="18"/>
      <c r="Q40" s="18"/>
    </row>
    <row r="41" spans="2:21" ht="14.4" x14ac:dyDescent="0.3">
      <c r="B41" s="143" t="s">
        <v>2740</v>
      </c>
      <c r="C41" s="18"/>
      <c r="D41" s="18"/>
      <c r="E41" s="18"/>
      <c r="F41" s="18"/>
      <c r="G41" s="18"/>
      <c r="H41" s="18"/>
      <c r="I41" s="18"/>
      <c r="J41" s="18"/>
      <c r="K41" s="18"/>
      <c r="L41" s="18"/>
      <c r="M41" s="18"/>
      <c r="N41" s="18"/>
      <c r="O41" s="18"/>
      <c r="P41" s="18"/>
      <c r="Q41" s="18"/>
    </row>
    <row r="42" spans="2:21" ht="14.4" x14ac:dyDescent="0.3">
      <c r="B42" s="143" t="s">
        <v>2924</v>
      </c>
      <c r="C42" s="18"/>
      <c r="D42" s="18"/>
      <c r="E42" s="18"/>
      <c r="F42" s="18"/>
      <c r="G42" s="18"/>
      <c r="H42" s="18"/>
      <c r="I42" s="18"/>
      <c r="J42" s="18"/>
      <c r="K42" s="18"/>
      <c r="L42" s="18"/>
      <c r="M42" s="18"/>
      <c r="N42" s="18"/>
      <c r="O42" s="18"/>
      <c r="P42" s="18"/>
      <c r="Q42" s="18"/>
    </row>
    <row r="43" spans="2:21" ht="14.4" x14ac:dyDescent="0.3">
      <c r="B43" s="143"/>
      <c r="C43" s="18"/>
      <c r="D43" s="18"/>
      <c r="E43" s="18"/>
      <c r="F43" s="18"/>
      <c r="G43" s="18"/>
      <c r="H43" s="18"/>
      <c r="I43" s="18"/>
      <c r="J43" s="18"/>
      <c r="K43" s="18"/>
      <c r="L43" s="18"/>
      <c r="M43" s="18"/>
      <c r="N43" s="18"/>
      <c r="O43" s="18"/>
      <c r="P43" s="18"/>
      <c r="Q43" s="18"/>
    </row>
    <row r="44" spans="2:21" ht="14.4" x14ac:dyDescent="0.3">
      <c r="B44" s="143"/>
      <c r="C44" s="18"/>
      <c r="D44" s="18"/>
      <c r="E44" s="18"/>
      <c r="F44" s="18"/>
      <c r="G44" s="18"/>
      <c r="H44" s="18"/>
      <c r="I44" s="18"/>
      <c r="J44" s="18"/>
      <c r="K44" s="18"/>
      <c r="L44" s="18"/>
      <c r="M44" s="18"/>
      <c r="N44" s="18"/>
      <c r="O44" s="18"/>
      <c r="P44" s="18"/>
      <c r="Q44" s="18"/>
    </row>
    <row r="45" spans="2:21" ht="14.4" x14ac:dyDescent="0.3">
      <c r="B45" s="144" t="s">
        <v>716</v>
      </c>
      <c r="C45" s="18"/>
      <c r="D45" s="18"/>
      <c r="E45" s="18"/>
      <c r="F45" s="18"/>
      <c r="G45" s="18"/>
      <c r="H45" s="18"/>
      <c r="I45" s="18"/>
      <c r="J45" s="18"/>
      <c r="K45" s="18"/>
      <c r="L45" s="18"/>
      <c r="M45" s="18"/>
      <c r="N45" s="18"/>
      <c r="O45" s="18"/>
      <c r="P45" s="18"/>
      <c r="Q45" s="18"/>
    </row>
    <row r="46" spans="2:21" ht="43.2" x14ac:dyDescent="0.3">
      <c r="B46" s="210" t="s">
        <v>719</v>
      </c>
      <c r="C46" s="210" t="s">
        <v>717</v>
      </c>
      <c r="D46" s="210" t="s">
        <v>718</v>
      </c>
      <c r="E46" s="18"/>
      <c r="F46" s="18"/>
      <c r="G46" s="18"/>
      <c r="H46" s="18"/>
      <c r="I46" s="18"/>
      <c r="J46" s="18"/>
      <c r="K46" s="18"/>
      <c r="L46" s="18"/>
      <c r="M46" s="18"/>
      <c r="N46" s="18"/>
      <c r="O46" s="18"/>
      <c r="P46" s="18"/>
      <c r="Q46" s="18"/>
    </row>
    <row r="47" spans="2:21" ht="14.4" x14ac:dyDescent="0.3">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4.4" x14ac:dyDescent="0.3">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4.4" x14ac:dyDescent="0.3">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4.4" x14ac:dyDescent="0.3">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4.4" x14ac:dyDescent="0.3">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4.4" x14ac:dyDescent="0.3">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4.4" x14ac:dyDescent="0.3">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4.4" x14ac:dyDescent="0.3">
      <c r="B54" s="143"/>
      <c r="C54" s="18"/>
      <c r="D54" s="18"/>
      <c r="E54" s="18"/>
      <c r="F54" s="18"/>
      <c r="G54" s="18"/>
      <c r="H54" s="18"/>
      <c r="I54" s="18"/>
      <c r="J54" s="18"/>
      <c r="K54" s="18"/>
      <c r="L54" s="18"/>
      <c r="O54" s="18"/>
      <c r="P54" s="18"/>
      <c r="Q54" s="18"/>
      <c r="S54" s="18"/>
      <c r="T54" s="18"/>
      <c r="U54" s="18"/>
    </row>
    <row r="55" spans="1:21" ht="14.4" x14ac:dyDescent="0.3">
      <c r="B55" s="144" t="s">
        <v>760</v>
      </c>
      <c r="E55" s="18"/>
      <c r="F55" s="18"/>
      <c r="G55" s="18"/>
      <c r="H55" s="18"/>
      <c r="I55" s="18"/>
      <c r="J55" s="18"/>
      <c r="K55" s="18"/>
      <c r="L55" s="18"/>
      <c r="O55" s="18"/>
      <c r="P55" s="18"/>
      <c r="Q55" s="18"/>
      <c r="S55" s="18"/>
      <c r="T55" s="18"/>
      <c r="U55" s="18"/>
    </row>
    <row r="56" spans="1:21" ht="14.4" x14ac:dyDescent="0.3">
      <c r="B56" s="143" t="s">
        <v>720</v>
      </c>
      <c r="E56" s="18"/>
      <c r="F56" s="18"/>
      <c r="G56" s="18"/>
      <c r="H56" s="18"/>
      <c r="I56" s="18"/>
      <c r="J56" s="18"/>
      <c r="K56" s="18"/>
      <c r="L56" s="18"/>
      <c r="O56" s="18"/>
      <c r="P56" s="18"/>
      <c r="Q56" s="18"/>
      <c r="S56" s="18"/>
      <c r="T56" s="18"/>
      <c r="U56" s="18"/>
    </row>
    <row r="57" spans="1:21" ht="14.4" x14ac:dyDescent="0.3">
      <c r="A57" s="8" t="s">
        <v>786</v>
      </c>
      <c r="B57" s="143"/>
      <c r="G57" s="18"/>
      <c r="H57" s="18"/>
      <c r="I57" s="18"/>
      <c r="J57" s="18"/>
      <c r="K57" s="18"/>
      <c r="L57" s="18"/>
      <c r="O57" s="18"/>
      <c r="P57" s="18"/>
      <c r="Q57" s="18"/>
      <c r="S57" s="18"/>
      <c r="T57" s="18"/>
      <c r="U57" s="18"/>
    </row>
    <row r="58" spans="1:21" x14ac:dyDescent="0.3">
      <c r="G58" s="18"/>
      <c r="H58" s="18"/>
      <c r="I58" s="18"/>
      <c r="J58" s="18"/>
      <c r="K58" s="18"/>
      <c r="L58" s="18"/>
      <c r="O58" s="18"/>
      <c r="P58" s="18"/>
      <c r="Q58" s="18"/>
      <c r="S58" s="18"/>
      <c r="T58" s="18"/>
      <c r="U58" s="18"/>
    </row>
    <row r="59" spans="1:21" ht="14.4" x14ac:dyDescent="0.3">
      <c r="B59" s="144" t="s">
        <v>2878</v>
      </c>
      <c r="C59" s="144"/>
      <c r="D59" s="144"/>
      <c r="E59" s="144"/>
      <c r="F59" s="144"/>
      <c r="G59" s="18"/>
      <c r="H59" s="18"/>
      <c r="I59" s="18"/>
      <c r="J59" s="18"/>
      <c r="K59" s="18"/>
      <c r="L59" s="18"/>
      <c r="M59" s="18"/>
      <c r="N59" s="18"/>
      <c r="O59" s="18"/>
      <c r="P59" s="18"/>
      <c r="Q59" s="18"/>
    </row>
    <row r="60" spans="1:21" x14ac:dyDescent="0.3">
      <c r="M60" s="18"/>
      <c r="N60" s="18"/>
      <c r="O60" s="18"/>
      <c r="P60" s="18"/>
      <c r="Q60" s="18"/>
    </row>
    <row r="61" spans="1:21" x14ac:dyDescent="0.3">
      <c r="M61" s="18"/>
      <c r="N61" s="18"/>
      <c r="O61" s="18"/>
      <c r="P61" s="18"/>
      <c r="Q61" s="18"/>
    </row>
    <row r="62" spans="1:21" x14ac:dyDescent="0.3">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33"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45720</xdr:rowOff>
                  </from>
                  <to>
                    <xdr:col>18</xdr:col>
                    <xdr:colOff>121920</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S33" sqref="S33"/>
      <selection pane="bottomLeft" activeCell="D17" sqref="D17:Q53"/>
    </sheetView>
  </sheetViews>
  <sheetFormatPr defaultColWidth="0" defaultRowHeight="13.8" zeroHeight="1" x14ac:dyDescent="0.3"/>
  <cols>
    <col min="1" max="1" width="5.33203125" style="8" customWidth="1"/>
    <col min="2" max="2" width="11.33203125" style="8" hidden="1" customWidth="1"/>
    <col min="3" max="3" width="3.33203125" style="8" customWidth="1"/>
    <col min="4" max="4" width="19.6640625" style="8" customWidth="1"/>
    <col min="5" max="6" width="28.88671875" style="8" customWidth="1"/>
    <col min="7" max="7" width="7.109375" style="8" customWidth="1"/>
    <col min="8" max="14" width="15.88671875" style="8" customWidth="1"/>
    <col min="15" max="15" width="15.6640625" style="8" customWidth="1"/>
    <col min="16" max="17" width="14.44140625" style="8" customWidth="1"/>
    <col min="18" max="18" width="5.6640625" style="8" customWidth="1"/>
    <col min="19" max="19" width="9.109375" style="8" hidden="1" customWidth="1"/>
    <col min="20" max="16384" width="0" style="8" hidden="1"/>
  </cols>
  <sheetData>
    <row r="1" spans="3:17" x14ac:dyDescent="0.3">
      <c r="C1" s="18"/>
      <c r="D1" s="18"/>
      <c r="E1" s="18"/>
      <c r="F1" s="18"/>
      <c r="G1" s="18"/>
      <c r="H1" s="18"/>
      <c r="I1" s="18"/>
      <c r="J1" s="18"/>
      <c r="K1" s="18"/>
      <c r="L1" s="18"/>
      <c r="M1" s="18"/>
      <c r="N1" s="18"/>
      <c r="O1" s="18"/>
      <c r="P1" s="18"/>
      <c r="Q1" s="18"/>
    </row>
    <row r="2" spans="3:17" x14ac:dyDescent="0.3">
      <c r="C2" s="18"/>
      <c r="D2" s="18"/>
      <c r="E2" s="18"/>
      <c r="F2" s="18"/>
      <c r="G2" s="18"/>
      <c r="H2" s="18"/>
      <c r="I2" s="18"/>
      <c r="J2" s="18"/>
      <c r="K2" s="18"/>
      <c r="L2" s="18"/>
      <c r="M2" s="18"/>
      <c r="N2" s="18"/>
      <c r="O2" s="18"/>
      <c r="P2" s="18"/>
      <c r="Q2" s="18"/>
    </row>
    <row r="3" spans="3:17" x14ac:dyDescent="0.3">
      <c r="C3" s="18"/>
      <c r="D3" s="18"/>
      <c r="E3" s="18"/>
      <c r="F3" s="18"/>
      <c r="G3" s="18"/>
      <c r="H3" s="18"/>
      <c r="I3" s="18"/>
      <c r="J3" s="18"/>
      <c r="K3" s="18"/>
      <c r="L3" s="18"/>
      <c r="M3" s="18"/>
      <c r="N3" s="18"/>
      <c r="O3" s="18"/>
      <c r="P3" s="18"/>
      <c r="Q3" s="18"/>
    </row>
    <row r="4" spans="3:17" x14ac:dyDescent="0.3">
      <c r="C4" s="18"/>
      <c r="D4" s="18"/>
      <c r="E4" s="18"/>
      <c r="F4" s="18"/>
      <c r="G4" s="18"/>
      <c r="H4" s="18"/>
      <c r="I4" s="18"/>
      <c r="J4" s="18"/>
      <c r="K4" s="18"/>
      <c r="L4" s="18"/>
      <c r="M4" s="18"/>
      <c r="N4" s="18"/>
      <c r="O4" s="18"/>
      <c r="P4" s="18"/>
      <c r="Q4" s="18"/>
    </row>
    <row r="5" spans="3:17" x14ac:dyDescent="0.3">
      <c r="D5" s="644" t="str">
        <f>Zaglavlje_Naziv_preduzeca</f>
        <v>Company Name:</v>
      </c>
      <c r="E5" s="644"/>
      <c r="F5" s="644"/>
      <c r="O5" s="15" t="s">
        <v>786</v>
      </c>
      <c r="P5" s="658" t="str">
        <f>Podatak_MB</f>
        <v>01755633</v>
      </c>
      <c r="Q5" s="658"/>
    </row>
    <row r="6" spans="3:17" x14ac:dyDescent="0.3">
      <c r="D6" s="644"/>
      <c r="E6" s="644"/>
      <c r="F6" s="644"/>
      <c r="Q6" s="243" t="str">
        <f>Zaglavlje_MB</f>
        <v>ID Number</v>
      </c>
    </row>
    <row r="7" spans="3:17" ht="15" customHeight="1" x14ac:dyDescent="0.3">
      <c r="D7" s="656" t="str">
        <f>Podatak_Naziv_preduzeca</f>
        <v>TEHNOGAS-KAKMUŽ AD PETROVO</v>
      </c>
      <c r="E7" s="656"/>
      <c r="F7" s="656"/>
      <c r="P7" s="658" t="str">
        <f>Podatak_Sifra_djelatnosti</f>
        <v>20.11</v>
      </c>
      <c r="Q7" s="658"/>
    </row>
    <row r="8" spans="3:17" x14ac:dyDescent="0.3">
      <c r="D8" s="125" t="str">
        <f>Zaglavlje_Sjediste</f>
        <v>Registered Office:</v>
      </c>
      <c r="E8" s="668" t="str">
        <f>Podatak_Sjediste</f>
        <v>PETROVO</v>
      </c>
      <c r="F8" s="668"/>
      <c r="Q8" s="243" t="str">
        <f>Zaglavlje_Sifra_djelatnosti</f>
        <v>Code of Industry</v>
      </c>
    </row>
    <row r="9" spans="3:17" x14ac:dyDescent="0.3">
      <c r="D9" s="655" t="str">
        <f>Zaglavlje_Ziro_racun</f>
        <v>Bank Account Numbers:</v>
      </c>
      <c r="E9" s="655"/>
      <c r="F9" s="655"/>
      <c r="H9" s="14"/>
      <c r="Q9" s="392" t="str">
        <f>Podatak_JIB</f>
        <v>4400228130004</v>
      </c>
    </row>
    <row r="10" spans="3:17" x14ac:dyDescent="0.3">
      <c r="D10" s="657" t="str">
        <f>Podatak_Ziro_racun_1</f>
        <v>562-005-00000031-60</v>
      </c>
      <c r="E10" s="657"/>
      <c r="F10" s="657"/>
      <c r="Q10" s="243" t="str">
        <f>Zaglavlje_JIB</f>
        <v>Tax Number</v>
      </c>
    </row>
    <row r="11" spans="3:17" x14ac:dyDescent="0.3">
      <c r="C11" s="257"/>
      <c r="D11" s="657" t="str">
        <f>Podatak_Ziro_racun_2</f>
        <v>551-004-00009751-20</v>
      </c>
      <c r="E11" s="657"/>
      <c r="F11" s="657"/>
      <c r="H11" s="14"/>
    </row>
    <row r="12" spans="3:17" x14ac:dyDescent="0.3">
      <c r="C12" s="257"/>
      <c r="D12" s="701" t="str">
        <f>Podatak_Ziro_racun_3</f>
        <v/>
      </c>
      <c r="E12" s="701"/>
      <c r="F12" s="701"/>
    </row>
    <row r="13" spans="3:17" x14ac:dyDescent="0.3">
      <c r="C13" s="257"/>
      <c r="D13" s="701" t="str">
        <f>Podatak_Ziro_racun_4</f>
        <v/>
      </c>
      <c r="E13" s="701"/>
      <c r="F13" s="701"/>
      <c r="H13" s="18"/>
      <c r="I13" s="18"/>
      <c r="J13" s="18"/>
      <c r="K13" s="19"/>
      <c r="L13" s="19"/>
      <c r="M13" s="19"/>
      <c r="N13" s="19"/>
      <c r="O13" s="18"/>
      <c r="P13"/>
      <c r="Q13"/>
    </row>
    <row r="14" spans="3:17" ht="15.6" x14ac:dyDescent="0.3">
      <c r="C14" s="257"/>
      <c r="D14" s="669" t="str">
        <f>IF( Id_Konsolidovani, Nazivi_bilansa_Konsolidovani_naziv &amp; LOWER( Nazivi_bilansa_BPK), Nazivi_bilansa_BPK)</f>
        <v>Statement on Changes in Equity</v>
      </c>
      <c r="E14" s="669"/>
      <c r="F14" s="669"/>
      <c r="G14" s="669"/>
      <c r="H14" s="669"/>
      <c r="I14" s="669"/>
      <c r="J14" s="669"/>
      <c r="K14" s="669"/>
      <c r="L14" s="669"/>
      <c r="M14" s="669"/>
      <c r="N14" s="669"/>
      <c r="O14" s="669"/>
      <c r="P14" s="669"/>
      <c r="Q14" s="669"/>
    </row>
    <row r="15" spans="3:17" x14ac:dyDescent="0.3">
      <c r="C15" s="257"/>
      <c r="D15" s="654" t="str">
        <f>Datumi_Datum_BPK</f>
        <v>for period ending 31.12.2022.</v>
      </c>
      <c r="E15" s="654"/>
      <c r="F15" s="654"/>
      <c r="G15" s="654"/>
      <c r="H15" s="654"/>
      <c r="I15" s="654"/>
      <c r="J15" s="654"/>
      <c r="K15" s="654"/>
      <c r="L15" s="654"/>
      <c r="M15" s="654"/>
      <c r="N15" s="654"/>
      <c r="O15" s="654"/>
      <c r="P15" s="654"/>
      <c r="Q15" s="654"/>
    </row>
    <row r="16" spans="3:17" x14ac:dyDescent="0.3">
      <c r="C16" s="257"/>
      <c r="D16" s="473"/>
      <c r="E16" s="473"/>
      <c r="F16" s="473"/>
      <c r="G16" s="473"/>
      <c r="H16" s="473"/>
      <c r="I16" s="473"/>
      <c r="J16" s="473"/>
      <c r="K16" s="473"/>
      <c r="L16" s="473"/>
      <c r="M16" s="473"/>
      <c r="N16" s="473"/>
      <c r="O16" s="473"/>
      <c r="P16" s="473"/>
      <c r="Q16" s="474" t="str">
        <f>Tabele_zaglavlje_Valuta</f>
        <v>- in BAM -</v>
      </c>
    </row>
    <row r="17" spans="2:19" x14ac:dyDescent="0.3">
      <c r="C17" s="257"/>
      <c r="D17" s="769" t="str">
        <f>Tabele_zaglavlje_BPK1</f>
        <v>Type of change in equity</v>
      </c>
      <c r="E17" s="770"/>
      <c r="F17" s="771"/>
      <c r="G17" s="786" t="str">
        <f>Tabele_zaglavlje_Oznaka_aop</f>
        <v>AOP</v>
      </c>
      <c r="H17" s="787" t="str">
        <f>Tabele_zaglavlje_BPK0</f>
        <v xml:space="preserve">Share in shareholders’ equity that belongs to owners of parent company </v>
      </c>
      <c r="I17" s="788"/>
      <c r="J17" s="788"/>
      <c r="K17" s="788"/>
      <c r="L17" s="788"/>
      <c r="M17" s="788"/>
      <c r="N17" s="788"/>
      <c r="O17" s="789"/>
      <c r="P17" s="765" t="str">
        <f>Tabele_zaglavlje_BPK11</f>
        <v>Minority interest</v>
      </c>
      <c r="Q17" s="767" t="str" cm="1">
        <f t="array" ref="Q17">Tabele_zaglavlje_BPK12</f>
        <v>TOTAL EQUITY</v>
      </c>
    </row>
    <row r="18" spans="2:19" ht="106.5" customHeight="1" x14ac:dyDescent="0.3">
      <c r="C18" s="257"/>
      <c r="D18" s="772"/>
      <c r="E18" s="773"/>
      <c r="F18" s="640"/>
      <c r="G18" s="642"/>
      <c r="H18" s="488" t="str">
        <f>Tabele_zaglavlje_BPK3</f>
        <v>Shareholders’ equity and stakes in limited liability companies</v>
      </c>
      <c r="I18" s="488" t="str">
        <f>Tabele_zaglavlje_BPK4</f>
        <v xml:space="preserve">Issuance Premium </v>
      </c>
      <c r="J18" s="488" t="str">
        <f>Tabele_zaglavlje_BPK5</f>
        <v>Reserves</v>
      </c>
      <c r="K18" s="488" t="str">
        <f>Tabele_zaglavlje_BPK6</f>
        <v xml:space="preserve">Revaluation reserve </v>
      </c>
      <c r="L18" s="488" t="str">
        <f>Tabele_zaglavlje_BPK7</f>
        <v>Unrealized gains/losses arising from financial assets available for sale</v>
      </c>
      <c r="M18" s="488" t="str">
        <f>Tabele_zaglavlje_BPK8</f>
        <v>Other reserves (issuance premium, legal and statutory reserves, cash flow protection)</v>
      </c>
      <c r="N18" s="488" t="str">
        <f>Tabele_zaglavlje_BPK9</f>
        <v xml:space="preserve">Retained earnings / uncovered loss </v>
      </c>
      <c r="O18" s="488" t="str">
        <f>Tabele_zaglavlje_BPK10</f>
        <v>Total 
(3+4+5+6±7± 8 ± 9)</v>
      </c>
      <c r="P18" s="766"/>
      <c r="Q18" s="768"/>
      <c r="S18" s="134" t="s">
        <v>490</v>
      </c>
    </row>
    <row r="19" spans="2:19" x14ac:dyDescent="0.3">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3">
      <c r="B20" s="47">
        <v>419</v>
      </c>
      <c r="C20" s="257"/>
      <c r="D20" s="793" t="str">
        <f>VLOOKUP($B20,Aop!$A$2:$M$453,6,1)</f>
        <v/>
      </c>
      <c r="E20" s="794"/>
      <c r="F20" s="795"/>
      <c r="G20" s="185">
        <f>VLOOKUP($B20,Aop!$A$2:$M$453,4,1)</f>
        <v>0</v>
      </c>
      <c r="H20" s="64"/>
      <c r="I20" s="64"/>
      <c r="J20" s="64"/>
      <c r="K20" s="64"/>
      <c r="L20" s="64"/>
      <c r="M20" s="64"/>
      <c r="N20" s="64"/>
      <c r="O20" s="64"/>
      <c r="P20" s="64"/>
      <c r="Q20" s="467"/>
    </row>
    <row r="21" spans="2:19" ht="12.75" customHeight="1" x14ac:dyDescent="0.3">
      <c r="B21" s="47">
        <v>420</v>
      </c>
      <c r="C21" s="257"/>
      <c r="D21" s="774" t="str">
        <f>VLOOKUP($B21,Aop!$A$2:$M$453,6,1)</f>
        <v>1. Value on day 01.01.2021</v>
      </c>
      <c r="E21" s="775"/>
      <c r="F21" s="776"/>
      <c r="G21" s="178">
        <f>VLOOKUP($B21,Aop!$A$2:$M$453,4,1)</f>
        <v>901</v>
      </c>
      <c r="H21" s="81">
        <v>1177999</v>
      </c>
      <c r="I21" s="81"/>
      <c r="J21" s="81">
        <v>1849561</v>
      </c>
      <c r="K21" s="81"/>
      <c r="L21" s="81"/>
      <c r="M21" s="81">
        <v>837465</v>
      </c>
      <c r="N21" s="81">
        <v>-327712</v>
      </c>
      <c r="O21" s="60">
        <f t="shared" ref="O21:O51" si="0">SUM(H21:N21)</f>
        <v>3537313</v>
      </c>
      <c r="P21" s="81"/>
      <c r="Q21" s="468">
        <f t="shared" ref="Q21:Q51" si="1">SUM(O21:P21)</f>
        <v>3537313</v>
      </c>
    </row>
    <row r="22" spans="2:19" ht="7.5" customHeight="1" x14ac:dyDescent="0.3">
      <c r="B22" s="47">
        <v>421</v>
      </c>
      <c r="C22" s="257"/>
      <c r="D22" s="777" t="str">
        <f>VLOOKUP($B22,Aop!$A$2:$M$453,6,1)</f>
        <v/>
      </c>
      <c r="E22" s="778"/>
      <c r="F22" s="779"/>
      <c r="G22" s="75">
        <f>VLOOKUP($B22,Aop!$A$2:$M$453,4,1)</f>
        <v>0</v>
      </c>
      <c r="H22" s="64"/>
      <c r="I22" s="64"/>
      <c r="J22" s="64"/>
      <c r="K22" s="64"/>
      <c r="L22" s="64"/>
      <c r="M22" s="64"/>
      <c r="N22" s="64"/>
      <c r="O22" s="64"/>
      <c r="P22" s="64"/>
      <c r="Q22" s="467"/>
    </row>
    <row r="23" spans="2:19" ht="15" customHeight="1" x14ac:dyDescent="0.3">
      <c r="B23" s="47">
        <v>422</v>
      </c>
      <c r="C23" s="257"/>
      <c r="D23" s="780" t="str">
        <f>VLOOKUP($B23,Aop!$A$2:$M$453,6,1)</f>
        <v xml:space="preserve">    2. Effects of the changes in accounting policies</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3">
      <c r="B24" s="47">
        <v>423</v>
      </c>
      <c r="C24" s="257"/>
      <c r="D24" s="777" t="str">
        <f>VLOOKUP($B24,Aop!$A$2:$M$453,6,1)</f>
        <v xml:space="preserve">    3. Effects of the corrections of material errors</v>
      </c>
      <c r="E24" s="778"/>
      <c r="F24" s="779"/>
      <c r="G24" s="75">
        <f>VLOOKUP($B24,Aop!$A$2:$M$453,4,1)</f>
        <v>903</v>
      </c>
      <c r="H24" s="157"/>
      <c r="I24" s="157"/>
      <c r="J24" s="157"/>
      <c r="K24" s="157"/>
      <c r="L24" s="157"/>
      <c r="M24" s="157"/>
      <c r="N24" s="157"/>
      <c r="O24" s="154">
        <f t="shared" si="0"/>
        <v>0</v>
      </c>
      <c r="P24" s="157"/>
      <c r="Q24" s="469">
        <f t="shared" si="1"/>
        <v>0</v>
      </c>
    </row>
    <row r="25" spans="2:19" ht="23.25" customHeight="1" x14ac:dyDescent="0.3">
      <c r="B25" s="47">
        <v>424</v>
      </c>
      <c r="C25" s="257"/>
      <c r="D25" s="774" t="str">
        <f>VLOOKUP($B25,Aop!$A$2:$M$453,6,1)</f>
        <v xml:space="preserve">  4. New value on day 01.01.2021 (901 ± 902 ± 903)</v>
      </c>
      <c r="E25" s="775"/>
      <c r="F25" s="776"/>
      <c r="G25" s="178">
        <f>VLOOKUP($B25,Aop!$A$2:$M$453,4,1)</f>
        <v>904</v>
      </c>
      <c r="H25" s="60">
        <f>SUM(H21:H24)</f>
        <v>1177999</v>
      </c>
      <c r="I25" s="60">
        <f t="shared" ref="I25:P25" si="2">SUM(I21:I24)</f>
        <v>0</v>
      </c>
      <c r="J25" s="60">
        <f t="shared" si="2"/>
        <v>1849561</v>
      </c>
      <c r="K25" s="60">
        <f t="shared" si="2"/>
        <v>0</v>
      </c>
      <c r="L25" s="60">
        <f t="shared" si="2"/>
        <v>0</v>
      </c>
      <c r="M25" s="60">
        <f t="shared" si="2"/>
        <v>837465</v>
      </c>
      <c r="N25" s="60">
        <f t="shared" si="2"/>
        <v>-327712</v>
      </c>
      <c r="O25" s="60">
        <f>SUM(H25:N25)</f>
        <v>3537313</v>
      </c>
      <c r="P25" s="60">
        <f t="shared" si="2"/>
        <v>0</v>
      </c>
      <c r="Q25" s="468">
        <f t="shared" si="1"/>
        <v>3537313</v>
      </c>
      <c r="S25" s="133" t="s">
        <v>313</v>
      </c>
    </row>
    <row r="26" spans="2:19" ht="8.25" customHeight="1" x14ac:dyDescent="0.3">
      <c r="B26" s="47">
        <v>425</v>
      </c>
      <c r="C26" s="257"/>
      <c r="D26" s="777" t="str">
        <f>VLOOKUP($B26,Aop!$A$2:$M$453,6,1)</f>
        <v/>
      </c>
      <c r="E26" s="778"/>
      <c r="F26" s="779"/>
      <c r="G26" s="75">
        <f>VLOOKUP($B26,Aop!$A$2:$M$453,4,1)</f>
        <v>0</v>
      </c>
      <c r="H26" s="64"/>
      <c r="I26" s="64"/>
      <c r="J26" s="64"/>
      <c r="K26" s="64"/>
      <c r="L26" s="64"/>
      <c r="M26" s="64"/>
      <c r="N26" s="64"/>
      <c r="O26" s="64"/>
      <c r="P26" s="64"/>
      <c r="Q26" s="467"/>
      <c r="S26" s="133" t="s">
        <v>313</v>
      </c>
    </row>
    <row r="27" spans="2:19" ht="15" customHeight="1" x14ac:dyDescent="0.3">
      <c r="B27" s="47">
        <v>426</v>
      </c>
      <c r="C27" s="257"/>
      <c r="D27" s="780" t="str">
        <f>VLOOKUP($B27,Aop!$A$2:$M$453,6,1)</f>
        <v xml:space="preserve">    5. Profit/(loss) for the year</v>
      </c>
      <c r="E27" s="781"/>
      <c r="F27" s="782"/>
      <c r="G27" s="59">
        <f>VLOOKUP($B27,Aop!$A$2:$M$453,4,1)</f>
        <v>905</v>
      </c>
      <c r="H27" s="155"/>
      <c r="I27" s="155"/>
      <c r="J27" s="155"/>
      <c r="K27" s="155"/>
      <c r="L27" s="155"/>
      <c r="M27" s="155"/>
      <c r="N27" s="155">
        <v>733165</v>
      </c>
      <c r="O27" s="153">
        <f t="shared" si="0"/>
        <v>733165</v>
      </c>
      <c r="P27" s="155"/>
      <c r="Q27" s="470">
        <f t="shared" si="1"/>
        <v>733165</v>
      </c>
    </row>
    <row r="28" spans="2:19" ht="15" customHeight="1" x14ac:dyDescent="0.3">
      <c r="B28" s="47">
        <v>427</v>
      </c>
      <c r="C28" s="257"/>
      <c r="D28" s="777" t="str">
        <f>VLOOKUP($B28,Aop!$A$2:$M$453,6,1)</f>
        <v xml:space="preserve">    6. Other total result for the year</v>
      </c>
      <c r="E28" s="778"/>
      <c r="F28" s="779"/>
      <c r="G28" s="75">
        <f>VLOOKUP($B28,Aop!$A$2:$M$453,4,1)</f>
        <v>906</v>
      </c>
      <c r="H28" s="157"/>
      <c r="I28" s="157"/>
      <c r="J28" s="157"/>
      <c r="K28" s="157"/>
      <c r="L28" s="157"/>
      <c r="M28" s="157"/>
      <c r="N28" s="157"/>
      <c r="O28" s="154">
        <f t="shared" si="0"/>
        <v>0</v>
      </c>
      <c r="P28" s="157"/>
      <c r="Q28" s="469">
        <f t="shared" si="1"/>
        <v>0</v>
      </c>
    </row>
    <row r="29" spans="2:19" ht="15" customHeight="1" x14ac:dyDescent="0.3">
      <c r="B29" s="47">
        <v>428</v>
      </c>
      <c r="C29" s="257"/>
      <c r="D29" s="774" t="str">
        <f>VLOOKUP($B29,Aop!$A$2:$M$453,6,1)</f>
        <v xml:space="preserve">  7. Total profit/(loss) (± 905 ± 906)</v>
      </c>
      <c r="E29" s="775"/>
      <c r="F29" s="776"/>
      <c r="G29" s="178">
        <f>VLOOKUP($B29,Aop!$A$2:$M$453,4,1)</f>
        <v>907</v>
      </c>
      <c r="H29" s="60">
        <f>SUM(H27:H28)</f>
        <v>0</v>
      </c>
      <c r="I29" s="60">
        <f t="shared" ref="I29:Q29" si="3">SUM(I27:I28)</f>
        <v>0</v>
      </c>
      <c r="J29" s="60">
        <f t="shared" si="3"/>
        <v>0</v>
      </c>
      <c r="K29" s="60">
        <f t="shared" si="3"/>
        <v>0</v>
      </c>
      <c r="L29" s="60">
        <f t="shared" si="3"/>
        <v>0</v>
      </c>
      <c r="M29" s="60">
        <f t="shared" si="3"/>
        <v>0</v>
      </c>
      <c r="N29" s="60">
        <f t="shared" si="3"/>
        <v>733165</v>
      </c>
      <c r="O29" s="60">
        <f t="shared" si="3"/>
        <v>733165</v>
      </c>
      <c r="P29" s="60">
        <f t="shared" si="3"/>
        <v>0</v>
      </c>
      <c r="Q29" s="468">
        <f t="shared" si="3"/>
        <v>733165</v>
      </c>
    </row>
    <row r="30" spans="2:19" ht="6.75" customHeight="1" x14ac:dyDescent="0.3">
      <c r="B30" s="47">
        <v>429</v>
      </c>
      <c r="C30" s="257"/>
      <c r="D30" s="777" t="str">
        <f>VLOOKUP($B30,Aop!$A$2:$M$453,6,1)</f>
        <v/>
      </c>
      <c r="E30" s="778"/>
      <c r="F30" s="779"/>
      <c r="G30" s="75">
        <f>VLOOKUP($B30,Aop!$A$2:$M$453,4,1)</f>
        <v>0</v>
      </c>
      <c r="H30" s="64"/>
      <c r="I30" s="64"/>
      <c r="J30" s="64"/>
      <c r="K30" s="64"/>
      <c r="L30" s="64"/>
      <c r="M30" s="64"/>
      <c r="N30" s="64"/>
      <c r="O30" s="64"/>
      <c r="P30" s="64"/>
      <c r="Q30" s="467"/>
    </row>
    <row r="31" spans="2:19" ht="15" customHeight="1" x14ac:dyDescent="0.3">
      <c r="B31" s="47">
        <v>430</v>
      </c>
      <c r="C31" s="257"/>
      <c r="D31" s="780" t="str">
        <f>VLOOKUP($B31,Aop!$A$2:$M$453,6,1)</f>
        <v xml:space="preserve">    8. New issuance of the shareholders equity and other increases in capital</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3">
      <c r="B32" s="47">
        <v>431</v>
      </c>
      <c r="C32" s="257"/>
      <c r="D32" s="777" t="str">
        <f>VLOOKUP($B32,Aop!$A$2:$M$453,6,1)</f>
        <v xml:space="preserve">    9. Acquisition of own shares and other decreases in capital</v>
      </c>
      <c r="E32" s="778"/>
      <c r="F32" s="779"/>
      <c r="G32" s="75">
        <f>VLOOKUP($B32,Aop!$A$2:$M$453,4,1)</f>
        <v>909</v>
      </c>
      <c r="H32" s="157"/>
      <c r="I32" s="157"/>
      <c r="J32" s="157"/>
      <c r="K32" s="157"/>
      <c r="L32" s="157"/>
      <c r="M32" s="157"/>
      <c r="N32" s="157"/>
      <c r="O32" s="154">
        <f t="shared" si="0"/>
        <v>0</v>
      </c>
      <c r="P32" s="157"/>
      <c r="Q32" s="469">
        <f t="shared" si="1"/>
        <v>0</v>
      </c>
    </row>
    <row r="33" spans="2:19" ht="15" customHeight="1" x14ac:dyDescent="0.3">
      <c r="B33" s="47">
        <v>432</v>
      </c>
      <c r="C33" s="257"/>
      <c r="D33" s="780" t="str">
        <f>VLOOKUP($B33,Aop!$A$2:$M$453,6,1)</f>
        <v xml:space="preserve">    10. Declared dividends</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3">
      <c r="B34" s="47">
        <v>433</v>
      </c>
      <c r="C34" s="257"/>
      <c r="D34" s="777" t="str">
        <f>VLOOKUP($B34,Aop!$A$2:$M$453,6,1)</f>
        <v xml:space="preserve">    11. Other distributions of the net income and covering the loss</v>
      </c>
      <c r="E34" s="778"/>
      <c r="F34" s="779"/>
      <c r="G34" s="75">
        <f>VLOOKUP($B34,Aop!$A$2:$M$453,4,1)</f>
        <v>911</v>
      </c>
      <c r="H34" s="157"/>
      <c r="I34" s="157"/>
      <c r="J34" s="157">
        <v>-327712</v>
      </c>
      <c r="K34" s="157"/>
      <c r="L34" s="157"/>
      <c r="M34" s="157"/>
      <c r="N34" s="157">
        <v>327712</v>
      </c>
      <c r="O34" s="64">
        <f t="shared" si="0"/>
        <v>0</v>
      </c>
      <c r="P34" s="157"/>
      <c r="Q34" s="467">
        <f t="shared" si="1"/>
        <v>0</v>
      </c>
    </row>
    <row r="35" spans="2:19" ht="15" customHeight="1" x14ac:dyDescent="0.3">
      <c r="B35" s="47">
        <v>434</v>
      </c>
      <c r="C35" s="257"/>
      <c r="D35" s="780" t="str">
        <f>VLOOKUP($B35,Aop!$A$2:$M$453,6,1)</f>
        <v xml:space="preserve">    12.Other changes</v>
      </c>
      <c r="E35" s="781"/>
      <c r="F35" s="782"/>
      <c r="G35" s="59">
        <f>VLOOKUP($B35,Aop!$A$2:$M$453,4,1)</f>
        <v>912</v>
      </c>
      <c r="H35" s="155"/>
      <c r="I35" s="155"/>
      <c r="J35" s="155"/>
      <c r="K35" s="155"/>
      <c r="L35" s="155"/>
      <c r="M35" s="155"/>
      <c r="N35" s="155"/>
      <c r="O35" s="153">
        <f t="shared" si="0"/>
        <v>0</v>
      </c>
      <c r="P35" s="155"/>
      <c r="Q35" s="470">
        <f t="shared" si="1"/>
        <v>0</v>
      </c>
    </row>
    <row r="36" spans="2:19" ht="9" customHeight="1" x14ac:dyDescent="0.3">
      <c r="B36" s="47">
        <v>435</v>
      </c>
      <c r="C36" s="257"/>
      <c r="D36" s="777" t="str">
        <f>VLOOKUP($B36,Aop!$A$2:$M$453,6,1)</f>
        <v/>
      </c>
      <c r="E36" s="778"/>
      <c r="F36" s="779"/>
      <c r="G36" s="75">
        <f>VLOOKUP($B36,Aop!$A$2:$M$453,4,1)</f>
        <v>0</v>
      </c>
      <c r="H36" s="64"/>
      <c r="I36" s="64"/>
      <c r="J36" s="64"/>
      <c r="K36" s="64"/>
      <c r="L36" s="64"/>
      <c r="M36" s="64"/>
      <c r="N36" s="64"/>
      <c r="O36" s="64"/>
      <c r="P36" s="64"/>
      <c r="Q36" s="467"/>
      <c r="S36" s="133" t="s">
        <v>313</v>
      </c>
    </row>
    <row r="37" spans="2:19" ht="27.6" x14ac:dyDescent="0.3">
      <c r="B37" s="47">
        <v>436</v>
      </c>
      <c r="C37" s="257"/>
      <c r="D37" s="774" t="str">
        <f>VLOOKUP($B37,Aop!$A$2:$M$453,6,1)</f>
        <v xml:space="preserve">  13. Value on day 31.12.2021 / 01.01.2022 
(904 ± 907 ± 908 - 909 - 910 ± 911 ± 912)</v>
      </c>
      <c r="E37" s="775"/>
      <c r="F37" s="776"/>
      <c r="G37" s="178">
        <f>VLOOKUP($B37,Aop!$A$2:$M$453,4,1)</f>
        <v>913</v>
      </c>
      <c r="H37" s="60">
        <f>SUM(H25, H29, -H32, -H33, H31, H34:H35)</f>
        <v>1177999</v>
      </c>
      <c r="I37" s="60">
        <f t="shared" ref="I37:Q37" si="4">SUM(I25, I29, -I32, -I33, I31, I34:I35)</f>
        <v>0</v>
      </c>
      <c r="J37" s="60">
        <f t="shared" si="4"/>
        <v>1521849</v>
      </c>
      <c r="K37" s="60">
        <f t="shared" si="4"/>
        <v>0</v>
      </c>
      <c r="L37" s="60">
        <f t="shared" si="4"/>
        <v>0</v>
      </c>
      <c r="M37" s="60">
        <f t="shared" si="4"/>
        <v>837465</v>
      </c>
      <c r="N37" s="60">
        <f t="shared" si="4"/>
        <v>733165</v>
      </c>
      <c r="O37" s="60">
        <f t="shared" si="4"/>
        <v>4270478</v>
      </c>
      <c r="P37" s="60">
        <f t="shared" si="4"/>
        <v>0</v>
      </c>
      <c r="Q37" s="468">
        <f t="shared" si="4"/>
        <v>4270478</v>
      </c>
      <c r="S37" s="133" t="s">
        <v>313</v>
      </c>
    </row>
    <row r="38" spans="2:19" ht="9" customHeight="1" x14ac:dyDescent="0.3">
      <c r="B38" s="47">
        <v>437</v>
      </c>
      <c r="C38" s="257"/>
      <c r="D38" s="777" t="str">
        <f>VLOOKUP($B38,Aop!$A$2:$M$453,6,1)</f>
        <v/>
      </c>
      <c r="E38" s="778"/>
      <c r="F38" s="779"/>
      <c r="G38" s="75">
        <f>VLOOKUP($B38,Aop!$A$2:$M$453,4,1)</f>
        <v>0</v>
      </c>
      <c r="H38" s="64"/>
      <c r="I38" s="64"/>
      <c r="J38" s="64"/>
      <c r="K38" s="64"/>
      <c r="L38" s="64"/>
      <c r="M38" s="64"/>
      <c r="N38" s="64"/>
      <c r="O38" s="64"/>
      <c r="P38" s="64"/>
      <c r="Q38" s="467"/>
    </row>
    <row r="39" spans="2:19" ht="15.75" customHeight="1" x14ac:dyDescent="0.3">
      <c r="B39" s="47">
        <v>438</v>
      </c>
      <c r="C39" s="257"/>
      <c r="D39" s="780" t="str">
        <f>VLOOKUP($B39,Aop!$A$2:$M$453,6,1)</f>
        <v xml:space="preserve">    14. Effects of the changes in accounting policies</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3">
      <c r="B40" s="47">
        <v>439</v>
      </c>
      <c r="C40" s="257"/>
      <c r="D40" s="777" t="str">
        <f>VLOOKUP($B40,Aop!$A$2:$M$453,6,1)</f>
        <v xml:space="preserve">    15. Effects of errors corrections</v>
      </c>
      <c r="E40" s="778"/>
      <c r="F40" s="779"/>
      <c r="G40" s="75">
        <f>VLOOKUP($B40,Aop!$A$2:$M$453,4,1)</f>
        <v>915</v>
      </c>
      <c r="H40" s="157"/>
      <c r="I40" s="157"/>
      <c r="J40" s="157"/>
      <c r="K40" s="157"/>
      <c r="L40" s="157"/>
      <c r="M40" s="157"/>
      <c r="N40" s="157"/>
      <c r="O40" s="64">
        <f t="shared" si="0"/>
        <v>0</v>
      </c>
      <c r="P40" s="157"/>
      <c r="Q40" s="467">
        <f t="shared" si="1"/>
        <v>0</v>
      </c>
    </row>
    <row r="41" spans="2:19" ht="15.75" customHeight="1" x14ac:dyDescent="0.3">
      <c r="B41" s="47">
        <v>440</v>
      </c>
      <c r="C41" s="257"/>
      <c r="D41" s="774" t="str">
        <f>VLOOKUP($B41,Aop!$A$2:$M$453,6,1)</f>
        <v xml:space="preserve">  16. New value on day 01.01.2022 (913 ± 914 ± 915)</v>
      </c>
      <c r="E41" s="775"/>
      <c r="F41" s="776"/>
      <c r="G41" s="178">
        <f>VLOOKUP($B41,Aop!$A$2:$M$453,4,1)</f>
        <v>916</v>
      </c>
      <c r="H41" s="60">
        <f>SUM(H37:H40)</f>
        <v>1177999</v>
      </c>
      <c r="I41" s="60">
        <f t="shared" ref="I41:Q41" si="5">SUM(I37:I40)</f>
        <v>0</v>
      </c>
      <c r="J41" s="60">
        <f t="shared" si="5"/>
        <v>1521849</v>
      </c>
      <c r="K41" s="60">
        <f t="shared" si="5"/>
        <v>0</v>
      </c>
      <c r="L41" s="60">
        <f t="shared" si="5"/>
        <v>0</v>
      </c>
      <c r="M41" s="60">
        <f t="shared" si="5"/>
        <v>837465</v>
      </c>
      <c r="N41" s="60">
        <f t="shared" si="5"/>
        <v>733165</v>
      </c>
      <c r="O41" s="60">
        <f t="shared" si="5"/>
        <v>4270478</v>
      </c>
      <c r="P41" s="60">
        <f t="shared" si="5"/>
        <v>0</v>
      </c>
      <c r="Q41" s="468">
        <f t="shared" si="5"/>
        <v>4270478</v>
      </c>
    </row>
    <row r="42" spans="2:19" ht="6.75" customHeight="1" x14ac:dyDescent="0.3">
      <c r="B42" s="47">
        <v>441</v>
      </c>
      <c r="C42" s="257"/>
      <c r="D42" s="777" t="str">
        <f>VLOOKUP($B42,Aop!$A$2:$M$453,6,1)</f>
        <v/>
      </c>
      <c r="E42" s="778"/>
      <c r="F42" s="779"/>
      <c r="G42" s="75">
        <f>VLOOKUP($B42,Aop!$A$2:$M$453,4,1)</f>
        <v>0</v>
      </c>
      <c r="H42" s="64"/>
      <c r="I42" s="64"/>
      <c r="J42" s="64"/>
      <c r="K42" s="64"/>
      <c r="L42" s="64"/>
      <c r="M42" s="64"/>
      <c r="N42" s="64"/>
      <c r="O42" s="64"/>
      <c r="P42" s="64"/>
      <c r="Q42" s="467"/>
    </row>
    <row r="43" spans="2:19" ht="15" customHeight="1" x14ac:dyDescent="0.3">
      <c r="B43" s="47">
        <v>442</v>
      </c>
      <c r="C43" s="257"/>
      <c r="D43" s="780" t="str">
        <f>VLOOKUP($B43,Aop!$A$2:$M$453,6,1)</f>
        <v xml:space="preserve">    17. Profit/(loss) for the year</v>
      </c>
      <c r="E43" s="781"/>
      <c r="F43" s="782"/>
      <c r="G43" s="59">
        <f>VLOOKUP($B43,Aop!$A$2:$M$453,4,1)</f>
        <v>917</v>
      </c>
      <c r="H43" s="155"/>
      <c r="I43" s="155"/>
      <c r="J43" s="155"/>
      <c r="K43" s="155"/>
      <c r="L43" s="155"/>
      <c r="M43" s="155"/>
      <c r="N43" s="155">
        <v>454948</v>
      </c>
      <c r="O43" s="153">
        <f t="shared" si="0"/>
        <v>454948</v>
      </c>
      <c r="P43" s="155"/>
      <c r="Q43" s="470">
        <f t="shared" si="1"/>
        <v>454948</v>
      </c>
    </row>
    <row r="44" spans="2:19" ht="15" customHeight="1" x14ac:dyDescent="0.3">
      <c r="B44" s="47">
        <v>443</v>
      </c>
      <c r="C44" s="257"/>
      <c r="D44" s="777" t="str">
        <f>VLOOKUP($B44,Aop!$A$2:$M$453,6,1)</f>
        <v xml:space="preserve">    18. Other total result  for the year</v>
      </c>
      <c r="E44" s="778"/>
      <c r="F44" s="779"/>
      <c r="G44" s="75">
        <f>VLOOKUP($B44,Aop!$A$2:$M$453,4,1)</f>
        <v>918</v>
      </c>
      <c r="H44" s="157"/>
      <c r="I44" s="157"/>
      <c r="J44" s="157"/>
      <c r="K44" s="157"/>
      <c r="L44" s="157"/>
      <c r="M44" s="157"/>
      <c r="N44" s="157"/>
      <c r="O44" s="64">
        <f t="shared" si="0"/>
        <v>0</v>
      </c>
      <c r="P44" s="157"/>
      <c r="Q44" s="467">
        <f t="shared" si="1"/>
        <v>0</v>
      </c>
    </row>
    <row r="45" spans="2:19" ht="15" customHeight="1" x14ac:dyDescent="0.3">
      <c r="B45" s="47">
        <v>444</v>
      </c>
      <c r="C45" s="257"/>
      <c r="D45" s="774" t="str">
        <f>VLOOKUP($B45,Aop!$A$2:$M$453,6,1)</f>
        <v xml:space="preserve">  19. Total profit/(loss)  (± 917 ± 918)</v>
      </c>
      <c r="E45" s="775"/>
      <c r="F45" s="776"/>
      <c r="G45" s="178">
        <f>VLOOKUP($B45,Aop!$A$2:$M$453,4,1)</f>
        <v>919</v>
      </c>
      <c r="H45" s="60">
        <f>SUM(H43:H44)</f>
        <v>0</v>
      </c>
      <c r="I45" s="60">
        <f t="shared" ref="I45:Q45" si="6">SUM(I43:I44)</f>
        <v>0</v>
      </c>
      <c r="J45" s="60">
        <f t="shared" si="6"/>
        <v>0</v>
      </c>
      <c r="K45" s="60">
        <f>SUM(K43:K44)</f>
        <v>0</v>
      </c>
      <c r="L45" s="60">
        <f t="shared" si="6"/>
        <v>0</v>
      </c>
      <c r="M45" s="60">
        <f t="shared" si="6"/>
        <v>0</v>
      </c>
      <c r="N45" s="60">
        <f t="shared" si="6"/>
        <v>454948</v>
      </c>
      <c r="O45" s="60">
        <f t="shared" si="6"/>
        <v>454948</v>
      </c>
      <c r="P45" s="60">
        <f t="shared" si="6"/>
        <v>0</v>
      </c>
      <c r="Q45" s="468">
        <f t="shared" si="6"/>
        <v>454948</v>
      </c>
    </row>
    <row r="46" spans="2:19" ht="4.5" customHeight="1" x14ac:dyDescent="0.3">
      <c r="B46" s="47">
        <v>445</v>
      </c>
      <c r="C46" s="257"/>
      <c r="D46" s="777" t="str">
        <f>VLOOKUP($B46,Aop!$A$2:$M$453,6,1)</f>
        <v/>
      </c>
      <c r="E46" s="778"/>
      <c r="F46" s="779"/>
      <c r="G46" s="75">
        <f>VLOOKUP($B46,Aop!$A$2:$M$453,4,1)</f>
        <v>0</v>
      </c>
      <c r="H46" s="64"/>
      <c r="I46" s="64"/>
      <c r="J46" s="64"/>
      <c r="K46" s="64"/>
      <c r="L46" s="64"/>
      <c r="M46" s="64"/>
      <c r="N46" s="64"/>
      <c r="O46" s="64"/>
      <c r="P46" s="64"/>
      <c r="Q46" s="467"/>
    </row>
    <row r="47" spans="2:19" ht="15.75" customHeight="1" x14ac:dyDescent="0.3">
      <c r="B47" s="47">
        <v>446</v>
      </c>
      <c r="C47" s="257"/>
      <c r="D47" s="780" t="str">
        <f>VLOOKUP($B47,Aop!$A$2:$M$453,6,1)</f>
        <v xml:space="preserve">    20. New issuance of the shareholders equity and other increases in capital</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3">
      <c r="B48" s="47">
        <v>447</v>
      </c>
      <c r="C48" s="257"/>
      <c r="D48" s="777" t="str">
        <f>VLOOKUP($B48,Aop!$A$2:$M$453,6,1)</f>
        <v xml:space="preserve">    21. Acquisition of own shares and other decreases in capital</v>
      </c>
      <c r="E48" s="778"/>
      <c r="F48" s="779"/>
      <c r="G48" s="75">
        <f>VLOOKUP($B48,Aop!$A$2:$M$453,4,1)</f>
        <v>921</v>
      </c>
      <c r="H48" s="157"/>
      <c r="I48" s="157"/>
      <c r="J48" s="157"/>
      <c r="K48" s="157"/>
      <c r="L48" s="157"/>
      <c r="M48" s="157"/>
      <c r="N48" s="157"/>
      <c r="O48" s="64">
        <f t="shared" si="0"/>
        <v>0</v>
      </c>
      <c r="P48" s="157"/>
      <c r="Q48" s="467">
        <f t="shared" si="1"/>
        <v>0</v>
      </c>
    </row>
    <row r="49" spans="2:17" ht="15" customHeight="1" x14ac:dyDescent="0.3">
      <c r="B49" s="47">
        <v>448</v>
      </c>
      <c r="C49" s="257"/>
      <c r="D49" s="780" t="str">
        <f>VLOOKUP($B49,Aop!$A$2:$M$453,6,1)</f>
        <v xml:space="preserve">    22. Declared dividends</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3">
      <c r="B50" s="47">
        <v>449</v>
      </c>
      <c r="C50" s="257"/>
      <c r="D50" s="777" t="str">
        <f>VLOOKUP($B50,Aop!$A$2:$M$453,6,1)</f>
        <v xml:space="preserve">    23. Other distributions of the net income and covering the loss</v>
      </c>
      <c r="E50" s="778"/>
      <c r="F50" s="779"/>
      <c r="G50" s="75">
        <f>VLOOKUP($B50,Aop!$A$2:$M$453,4,1)</f>
        <v>923</v>
      </c>
      <c r="H50" s="157"/>
      <c r="I50" s="157"/>
      <c r="J50" s="157">
        <v>733165</v>
      </c>
      <c r="K50" s="157"/>
      <c r="L50" s="157"/>
      <c r="M50" s="157"/>
      <c r="N50" s="157">
        <v>-733165</v>
      </c>
      <c r="O50" s="64">
        <f t="shared" si="0"/>
        <v>0</v>
      </c>
      <c r="P50" s="157"/>
      <c r="Q50" s="467">
        <f t="shared" si="1"/>
        <v>0</v>
      </c>
    </row>
    <row r="51" spans="2:17" ht="15" customHeight="1" x14ac:dyDescent="0.3">
      <c r="B51" s="47">
        <v>450</v>
      </c>
      <c r="C51" s="257"/>
      <c r="D51" s="780" t="str">
        <f>VLOOKUP($B51,Aop!$A$2:$M$453,6,1)</f>
        <v xml:space="preserve">    24. Other changes</v>
      </c>
      <c r="E51" s="781"/>
      <c r="F51" s="782"/>
      <c r="G51" s="59">
        <f>VLOOKUP($B51,Aop!$A$2:$M$453,4,1)</f>
        <v>924</v>
      </c>
      <c r="H51" s="155"/>
      <c r="I51" s="155"/>
      <c r="J51" s="155"/>
      <c r="K51" s="155"/>
      <c r="L51" s="155"/>
      <c r="M51" s="155"/>
      <c r="N51" s="155"/>
      <c r="O51" s="153">
        <f t="shared" si="0"/>
        <v>0</v>
      </c>
      <c r="P51" s="155"/>
      <c r="Q51" s="470">
        <f t="shared" si="1"/>
        <v>0</v>
      </c>
    </row>
    <row r="52" spans="2:17" ht="7.5" customHeight="1" x14ac:dyDescent="0.3">
      <c r="B52" s="47">
        <v>451</v>
      </c>
      <c r="C52" s="257"/>
      <c r="D52" s="777" t="str">
        <f>VLOOKUP($B52,Aop!$A$2:$M$453,6,1)</f>
        <v/>
      </c>
      <c r="E52" s="778"/>
      <c r="F52" s="779"/>
      <c r="G52" s="75">
        <f>VLOOKUP($B52,Aop!$A$2:$M$453,4,1)</f>
        <v>0</v>
      </c>
      <c r="H52" s="64"/>
      <c r="I52" s="64"/>
      <c r="J52" s="64"/>
      <c r="K52" s="64"/>
      <c r="L52" s="64"/>
      <c r="M52" s="64"/>
      <c r="N52" s="64"/>
      <c r="O52" s="64"/>
      <c r="P52" s="64"/>
      <c r="Q52" s="467"/>
    </row>
    <row r="53" spans="2:17" ht="22.5" customHeight="1" x14ac:dyDescent="0.3">
      <c r="B53" s="47">
        <v>452</v>
      </c>
      <c r="C53" s="257"/>
      <c r="D53" s="790" t="str">
        <f>VLOOKUP($B53,Aop!$A$2:$M$453,6,1)</f>
        <v>25. Value on day 31.12.2022(916 ± 919 ± 920  - 921 - 922± 923 ± 924)</v>
      </c>
      <c r="E53" s="791"/>
      <c r="F53" s="792"/>
      <c r="G53" s="505">
        <f>VLOOKUP($B53,Aop!$A$2:$M$453,4,1)</f>
        <v>925</v>
      </c>
      <c r="H53" s="471">
        <f>SUM(H41, H45,H47,-H48,-H49,H50:H51)</f>
        <v>1177999</v>
      </c>
      <c r="I53" s="471">
        <f t="shared" ref="I53:Q53" si="7">SUM(I41, I45,I47,-I48,-I49,I50:I51)</f>
        <v>0</v>
      </c>
      <c r="J53" s="471">
        <f t="shared" si="7"/>
        <v>2255014</v>
      </c>
      <c r="K53" s="471">
        <f t="shared" si="7"/>
        <v>0</v>
      </c>
      <c r="L53" s="471">
        <f t="shared" si="7"/>
        <v>0</v>
      </c>
      <c r="M53" s="471">
        <f t="shared" si="7"/>
        <v>837465</v>
      </c>
      <c r="N53" s="471">
        <f t="shared" si="7"/>
        <v>454948</v>
      </c>
      <c r="O53" s="415">
        <f>SUM(O41, O45,O47,-O48,-O49,O50:O51)</f>
        <v>4725426</v>
      </c>
      <c r="P53" s="471">
        <f t="shared" si="7"/>
        <v>0</v>
      </c>
      <c r="Q53" s="472">
        <f t="shared" si="7"/>
        <v>4725426</v>
      </c>
    </row>
    <row r="54" spans="2:17" x14ac:dyDescent="0.3">
      <c r="C54" s="257"/>
      <c r="D54" s="40"/>
      <c r="E54" s="40"/>
      <c r="F54" s="40"/>
      <c r="G54" s="40"/>
      <c r="H54" s="40"/>
      <c r="I54" s="233"/>
      <c r="J54" s="37"/>
      <c r="K54" s="37"/>
      <c r="L54" s="37"/>
      <c r="M54" s="37"/>
    </row>
    <row r="55" spans="2:17" x14ac:dyDescent="0.3">
      <c r="D55" s="180" t="str">
        <f>Podnozje_U</f>
        <v>In</v>
      </c>
      <c r="E55" s="419" t="str">
        <f>Podatak_U</f>
        <v>Kakmužu</v>
      </c>
      <c r="H55" s="744" t="str">
        <f>Podnozje_Lice_sa_licencom</f>
        <v>Authorized Accountant:</v>
      </c>
      <c r="I55" s="744"/>
      <c r="K55" s="8" t="str">
        <f>Podnozje_Broj_licence</f>
        <v>Licence No.:</v>
      </c>
      <c r="L55" s="37"/>
      <c r="M55" s="37" t="str">
        <f>Podnozje_MP</f>
        <v>(Stamp)</v>
      </c>
      <c r="O55" s="744" t="str">
        <f>Podnozje_Direktor</f>
        <v>CEO:</v>
      </c>
      <c r="P55" s="744"/>
    </row>
    <row r="56" spans="2:17" x14ac:dyDescent="0.3">
      <c r="C56" s="28"/>
      <c r="G56"/>
      <c r="H56" s="797" t="str">
        <f>Podatak_Lice_sa_licencom</f>
        <v>Žarko Tripunović</v>
      </c>
      <c r="I56" s="797"/>
      <c r="O56" s="745" t="str">
        <f>Podatak_Direktor</f>
        <v>Mladen Ristić</v>
      </c>
      <c r="P56" s="745"/>
    </row>
    <row r="57" spans="2:17" x14ac:dyDescent="0.3">
      <c r="D57" s="180" t="str">
        <f>Podnozje_Dana</f>
        <v>Date:</v>
      </c>
      <c r="E57" s="418" t="str">
        <f>Podatak_Dana</f>
        <v>21.02.2022.</v>
      </c>
      <c r="F57" s="38"/>
      <c r="H57" s="796"/>
      <c r="I57" s="796"/>
      <c r="J57" s="9"/>
      <c r="K57" s="9" t="str">
        <f>Podatak_Broj_Licence</f>
        <v>SR-1138/23</v>
      </c>
      <c r="L57" s="9"/>
      <c r="M57" s="9"/>
      <c r="O57" s="702"/>
      <c r="P57" s="702"/>
      <c r="Q57" s="9"/>
    </row>
    <row r="58" spans="2:17" x14ac:dyDescent="0.3">
      <c r="K58"/>
      <c r="L58"/>
      <c r="M58"/>
      <c r="N58"/>
      <c r="O58"/>
      <c r="P58"/>
      <c r="Q58"/>
    </row>
    <row r="59" spans="2:17" x14ac:dyDescent="0.3"/>
    <row r="60" spans="2:17" x14ac:dyDescent="0.3"/>
    <row r="61" spans="2:17" x14ac:dyDescent="0.3"/>
    <row r="62" spans="2:17" x14ac:dyDescent="0.3"/>
    <row r="63" spans="2:17" x14ac:dyDescent="0.3"/>
    <row r="64" spans="2:17" x14ac:dyDescent="0.3"/>
    <row r="65" x14ac:dyDescent="0.3"/>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30480</xdr:colOff>
                    <xdr:row>0</xdr:row>
                    <xdr:rowOff>45720</xdr:rowOff>
                  </from>
                  <to>
                    <xdr:col>12</xdr:col>
                    <xdr:colOff>594360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V11" sqref="V11"/>
    </sheetView>
  </sheetViews>
  <sheetFormatPr defaultRowHeight="13.8" x14ac:dyDescent="0.3"/>
  <cols>
    <col min="1" max="1" width="4.5546875" customWidth="1"/>
    <col min="2" max="2" width="10.33203125" customWidth="1"/>
    <col min="3" max="3" width="18.33203125" customWidth="1"/>
    <col min="4" max="4" width="3.109375" customWidth="1"/>
    <col min="5" max="5" width="14.44140625" customWidth="1"/>
    <col min="6" max="6" width="23.109375" customWidth="1"/>
    <col min="7" max="7" width="4" customWidth="1"/>
    <col min="8" max="8" width="18" customWidth="1"/>
    <col min="9" max="9" width="10.5546875" customWidth="1"/>
    <col min="10" max="10" width="16.6640625" customWidth="1"/>
    <col min="11" max="11" width="9.6640625" customWidth="1"/>
    <col min="12" max="13" width="6.6640625" customWidth="1"/>
    <col min="14" max="14" width="8.5546875" customWidth="1"/>
    <col min="15" max="15" width="9" customWidth="1"/>
    <col min="16" max="17" width="9.33203125" customWidth="1"/>
    <col min="18" max="18" width="6.5546875" customWidth="1"/>
    <col min="19" max="19" width="21.6640625" bestFit="1" customWidth="1"/>
    <col min="20" max="21" width="8.6640625" bestFit="1" customWidth="1"/>
    <col min="22" max="22" width="6.6640625" customWidth="1"/>
    <col min="23" max="23" width="10.109375" customWidth="1"/>
    <col min="24" max="24" width="14.44140625" bestFit="1" customWidth="1"/>
    <col min="25" max="25" width="17.88671875" bestFit="1" customWidth="1"/>
    <col min="26" max="26" width="4.33203125" customWidth="1"/>
    <col min="27" max="27" width="12.44140625" bestFit="1" customWidth="1"/>
    <col min="28" max="28" width="8.5546875" bestFit="1" customWidth="1"/>
    <col min="29" max="29" width="13.109375" bestFit="1" customWidth="1"/>
    <col min="30" max="30" width="13.33203125" bestFit="1" customWidth="1"/>
  </cols>
  <sheetData>
    <row r="1" spans="2:30" x14ac:dyDescent="0.3">
      <c r="B1" s="57">
        <v>3</v>
      </c>
      <c r="C1" t="str">
        <f>VLOOKUP(ID_Jezik, $B$3:$C$6, 2, 1)</f>
        <v>English</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4.4" x14ac:dyDescent="0.3">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3">
      <c r="B3">
        <v>1</v>
      </c>
      <c r="C3" t="s">
        <v>121</v>
      </c>
      <c r="E3" s="9">
        <v>1</v>
      </c>
      <c r="F3" s="115" t="str">
        <f>IF( Revidiran_izvjestaj, Revizija_Pozitivno, "")</f>
        <v/>
      </c>
      <c r="H3" s="5">
        <f>DATE(Godina, K3, L3)</f>
        <v>44651</v>
      </c>
      <c r="I3">
        <v>1</v>
      </c>
      <c r="J3" t="str">
        <f>Vrsta_izvjestaja_Prvi_kvartal</f>
        <v>The first quarter</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BSaNapomena</v>
      </c>
      <c r="AB3" t="s">
        <v>771</v>
      </c>
      <c r="AC3" t="s">
        <v>971</v>
      </c>
      <c r="AD3">
        <v>2</v>
      </c>
    </row>
    <row r="4" spans="2:30" x14ac:dyDescent="0.3">
      <c r="B4">
        <v>2</v>
      </c>
      <c r="C4" t="s">
        <v>122</v>
      </c>
      <c r="E4" s="9">
        <v>2</v>
      </c>
      <c r="F4" s="115" t="str">
        <f>IF( Revidiran_izvjestaj, Revizija_Sa_rezervom, "")</f>
        <v/>
      </c>
      <c r="H4" s="5">
        <f>DATE(Godina, K4, L4)</f>
        <v>44742</v>
      </c>
      <c r="I4">
        <v>2</v>
      </c>
      <c r="J4" t="str">
        <f>Vrsta_izvjestaja_Polugodisnji</f>
        <v>Semiannual</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44562</v>
      </c>
      <c r="X4" t="str">
        <f>TEXT(W4, "dd.mm.yyyy.")</f>
        <v>01.01.2022.</v>
      </c>
      <c r="Y4" t="str">
        <f>TEXT(W4, "dd.mm.yyyy")</f>
        <v>01.01.2022</v>
      </c>
      <c r="AA4" t="str">
        <f>CONCATENATE(T_ApifKolone[[#This Row],[Bilans]],T_ApifKolone[[#This Row],[ApifKolona]])</f>
        <v>BSaKolona1</v>
      </c>
      <c r="AB4" t="s">
        <v>771</v>
      </c>
      <c r="AC4" t="s">
        <v>762</v>
      </c>
      <c r="AD4">
        <v>3</v>
      </c>
    </row>
    <row r="5" spans="2:30" x14ac:dyDescent="0.3">
      <c r="B5">
        <v>3</v>
      </c>
      <c r="C5" t="s">
        <v>106</v>
      </c>
      <c r="E5" s="9">
        <v>3</v>
      </c>
      <c r="F5" s="115" t="str">
        <f>IF( Revidiran_izvjestaj, Revizija_Negativno, "")</f>
        <v/>
      </c>
      <c r="H5" s="5">
        <f>DATE(Godina, K5, L5)</f>
        <v>44834</v>
      </c>
      <c r="I5">
        <v>3</v>
      </c>
      <c r="J5" t="str">
        <f>Vrsta_izvjestaja_Treci_kvartal</f>
        <v>The third quarter</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BSaKolona2</v>
      </c>
      <c r="AB5" t="s">
        <v>771</v>
      </c>
      <c r="AC5" t="s">
        <v>763</v>
      </c>
      <c r="AD5">
        <v>4</v>
      </c>
    </row>
    <row r="6" spans="2:30" x14ac:dyDescent="0.3">
      <c r="B6">
        <v>4</v>
      </c>
      <c r="C6" t="s">
        <v>2457</v>
      </c>
      <c r="E6" s="9">
        <v>4</v>
      </c>
      <c r="F6" s="115" t="str">
        <f>IF( Revidiran_izvjestaj, Revizija_Uzdrzavanje, "")</f>
        <v/>
      </c>
      <c r="H6" s="5">
        <f>DATE(Godina, K6, L6)</f>
        <v>44926</v>
      </c>
      <c r="I6">
        <v>4</v>
      </c>
      <c r="J6" t="str">
        <f>Vrsta_izvjestaja_Godisnji</f>
        <v>Annual</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44197</v>
      </c>
      <c r="X6" t="str">
        <f>TEXT(W6, "dd.mm.yyyy.")</f>
        <v>01.01.2021.</v>
      </c>
      <c r="Y6" t="str">
        <f>TEXT(W6, "dd.mm.yyyy")</f>
        <v>01.01.2021</v>
      </c>
      <c r="AA6" t="str">
        <f>CONCATENATE(T_ApifKolone[[#This Row],[Bilans]],T_ApifKolone[[#This Row],[ApifKolona]])</f>
        <v>BSaKolona3</v>
      </c>
      <c r="AB6" t="s">
        <v>771</v>
      </c>
      <c r="AC6" t="s">
        <v>764</v>
      </c>
      <c r="AD6">
        <v>5</v>
      </c>
    </row>
    <row r="7" spans="2:30" x14ac:dyDescent="0.3">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3">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3">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3">
      <c r="B10" t="s">
        <v>393</v>
      </c>
      <c r="C10" t="b">
        <f>Osnovni_podaci!$Y$76</f>
        <v>0</v>
      </c>
      <c r="AA10" s="258" t="str">
        <f>CONCATENATE(T_ApifKolone[[#This Row],[Bilans]],T_ApifKolone[[#This Row],[ApifKolona]])</f>
        <v>BSpKolona2</v>
      </c>
      <c r="AB10" s="258" t="s">
        <v>770</v>
      </c>
      <c r="AC10" s="258" t="s">
        <v>763</v>
      </c>
      <c r="AD10" s="567">
        <v>6</v>
      </c>
    </row>
    <row r="11" spans="2:30" x14ac:dyDescent="0.3">
      <c r="AA11" t="str">
        <f>CONCATENATE(T_ApifKolone[[#This Row],[Bilans]],T_ApifKolone[[#This Row],[ApifKolona]])</f>
        <v>BUaNapomena</v>
      </c>
      <c r="AB11" t="s">
        <v>255</v>
      </c>
      <c r="AC11" t="s">
        <v>971</v>
      </c>
      <c r="AD11" s="105">
        <v>2</v>
      </c>
    </row>
    <row r="12" spans="2:30" x14ac:dyDescent="0.3">
      <c r="AA12" t="str">
        <f>CONCATENATE(T_ApifKolone[[#This Row],[Bilans]],T_ApifKolone[[#This Row],[ApifKolona]])</f>
        <v>BUaKolona1</v>
      </c>
      <c r="AB12" t="s">
        <v>255</v>
      </c>
      <c r="AC12" t="s">
        <v>762</v>
      </c>
      <c r="AD12" s="105">
        <v>3</v>
      </c>
    </row>
    <row r="13" spans="2:30" x14ac:dyDescent="0.3">
      <c r="AA13" t="str">
        <f>CONCATENATE(T_ApifKolone[[#This Row],[Bilans]],T_ApifKolone[[#This Row],[ApifKolona]])</f>
        <v>BUaKolona2</v>
      </c>
      <c r="AB13" t="s">
        <v>255</v>
      </c>
      <c r="AC13" t="s">
        <v>763</v>
      </c>
      <c r="AD13" s="105">
        <v>4</v>
      </c>
    </row>
    <row r="14" spans="2:30" x14ac:dyDescent="0.3">
      <c r="AA14" t="str">
        <f>CONCATENATE(T_ApifKolone[[#This Row],[Bilans]],T_ApifKolone[[#This Row],[ApifKolona]])</f>
        <v>BUbNapomena</v>
      </c>
      <c r="AB14" t="s">
        <v>264</v>
      </c>
      <c r="AC14" t="s">
        <v>971</v>
      </c>
      <c r="AD14" s="105">
        <v>2</v>
      </c>
    </row>
    <row r="15" spans="2:30" x14ac:dyDescent="0.3">
      <c r="AA15" t="str">
        <f>CONCATENATE(T_ApifKolone[[#This Row],[Bilans]],T_ApifKolone[[#This Row],[ApifKolona]])</f>
        <v>BUbKolona1</v>
      </c>
      <c r="AB15" t="s">
        <v>264</v>
      </c>
      <c r="AC15" t="s">
        <v>762</v>
      </c>
      <c r="AD15">
        <v>3</v>
      </c>
    </row>
    <row r="16" spans="2:30" x14ac:dyDescent="0.3">
      <c r="AA16" s="258" t="str">
        <f>CONCATENATE(T_ApifKolone[[#This Row],[Bilans]],T_ApifKolone[[#This Row],[ApifKolona]])</f>
        <v>BUbKolona2</v>
      </c>
      <c r="AB16" s="258" t="s">
        <v>264</v>
      </c>
      <c r="AC16" s="258" t="s">
        <v>763</v>
      </c>
      <c r="AD16" s="258">
        <v>4</v>
      </c>
    </row>
    <row r="17" spans="24:30" x14ac:dyDescent="0.3">
      <c r="X17" s="113"/>
      <c r="AA17" t="str">
        <f>CONCATENATE(T_ApifKolone[[#This Row],[Bilans]],T_ApifKolone[[#This Row],[ApifKolona]])</f>
        <v>BTGNapomena</v>
      </c>
      <c r="AB17" t="s">
        <v>133</v>
      </c>
      <c r="AC17" t="s">
        <v>971</v>
      </c>
      <c r="AD17">
        <v>2</v>
      </c>
    </row>
    <row r="18" spans="24:30" x14ac:dyDescent="0.3">
      <c r="X18" s="113"/>
      <c r="AA18" t="str">
        <f>CONCATENATE(T_ApifKolone[[#This Row],[Bilans]],T_ApifKolone[[#This Row],[ApifKolona]])</f>
        <v>BTGKolona1</v>
      </c>
      <c r="AB18" t="s">
        <v>133</v>
      </c>
      <c r="AC18" t="s">
        <v>762</v>
      </c>
      <c r="AD18">
        <v>3</v>
      </c>
    </row>
    <row r="19" spans="24:30" x14ac:dyDescent="0.3">
      <c r="X19" s="113"/>
      <c r="AA19" s="258" t="str">
        <f>CONCATENATE(T_ApifKolone[[#This Row],[Bilans]],T_ApifKolone[[#This Row],[ApifKolona]])</f>
        <v>BTGKolona2</v>
      </c>
      <c r="AB19" s="258" t="s">
        <v>133</v>
      </c>
      <c r="AC19" s="258" t="s">
        <v>763</v>
      </c>
      <c r="AD19" s="258">
        <v>4</v>
      </c>
    </row>
    <row r="20" spans="24:30" x14ac:dyDescent="0.3">
      <c r="X20" s="113"/>
      <c r="AA20" t="str">
        <f>CONCATENATE(T_ApifKolone[[#This Row],[Bilans]],T_ApifKolone[[#This Row],[ApifKolona]])</f>
        <v>AneksKolona1</v>
      </c>
      <c r="AB20" t="s">
        <v>134</v>
      </c>
      <c r="AC20" t="s">
        <v>762</v>
      </c>
      <c r="AD20">
        <v>2</v>
      </c>
    </row>
    <row r="21" spans="24:30" x14ac:dyDescent="0.3">
      <c r="AA21" s="258" t="str">
        <f>CONCATENATE(T_ApifKolone[[#This Row],[Bilans]],T_ApifKolone[[#This Row],[ApifKolona]])</f>
        <v>AneksKolona2</v>
      </c>
      <c r="AB21" s="223" t="s">
        <v>134</v>
      </c>
      <c r="AC21" s="223" t="s">
        <v>763</v>
      </c>
      <c r="AD21" s="223">
        <v>3</v>
      </c>
    </row>
    <row r="22" spans="24:30" x14ac:dyDescent="0.3">
      <c r="AA22" t="str">
        <f>CONCATENATE(T_ApifKolone[[#This Row],[Bilans]],T_ApifKolone[[#This Row],[ApifKolona]])</f>
        <v>BPKKolona1</v>
      </c>
      <c r="AB22" t="s">
        <v>135</v>
      </c>
      <c r="AC22" t="s">
        <v>762</v>
      </c>
      <c r="AD22">
        <v>2</v>
      </c>
    </row>
    <row r="23" spans="24:30" x14ac:dyDescent="0.3">
      <c r="AA23" t="str">
        <f>CONCATENATE(T_ApifKolone[[#This Row],[Bilans]],T_ApifKolone[[#This Row],[ApifKolona]])</f>
        <v>BPKKolona2</v>
      </c>
      <c r="AB23" t="s">
        <v>135</v>
      </c>
      <c r="AC23" t="s">
        <v>763</v>
      </c>
      <c r="AD23">
        <v>3</v>
      </c>
    </row>
    <row r="24" spans="24:30" x14ac:dyDescent="0.3">
      <c r="AA24" t="str">
        <f>CONCATENATE(T_ApifKolone[[#This Row],[Bilans]],T_ApifKolone[[#This Row],[ApifKolona]])</f>
        <v>BPKKolona3</v>
      </c>
      <c r="AB24" t="s">
        <v>135</v>
      </c>
      <c r="AC24" t="s">
        <v>764</v>
      </c>
      <c r="AD24">
        <v>4</v>
      </c>
    </row>
    <row r="25" spans="24:30" x14ac:dyDescent="0.3">
      <c r="AA25" t="str">
        <f>CONCATENATE(T_ApifKolone[[#This Row],[Bilans]],T_ApifKolone[[#This Row],[ApifKolona]])</f>
        <v>BPKKolona4</v>
      </c>
      <c r="AB25" t="s">
        <v>135</v>
      </c>
      <c r="AC25" t="s">
        <v>765</v>
      </c>
      <c r="AD25">
        <v>5</v>
      </c>
    </row>
    <row r="26" spans="24:30" x14ac:dyDescent="0.3">
      <c r="AA26" t="str">
        <f>CONCATENATE(T_ApifKolone[[#This Row],[Bilans]],T_ApifKolone[[#This Row],[ApifKolona]])</f>
        <v>BPKKolona5</v>
      </c>
      <c r="AB26" t="s">
        <v>135</v>
      </c>
      <c r="AC26" t="s">
        <v>766</v>
      </c>
      <c r="AD26">
        <v>6</v>
      </c>
    </row>
    <row r="27" spans="24:30" x14ac:dyDescent="0.3">
      <c r="AA27" t="str">
        <f>CONCATENATE(T_ApifKolone[[#This Row],[Bilans]],T_ApifKolone[[#This Row],[ApifKolona]])</f>
        <v>BPKKolona6</v>
      </c>
      <c r="AB27" t="s">
        <v>135</v>
      </c>
      <c r="AC27" t="s">
        <v>767</v>
      </c>
      <c r="AD27">
        <v>7</v>
      </c>
    </row>
    <row r="28" spans="24:30" x14ac:dyDescent="0.3">
      <c r="AA28" t="str">
        <f>CONCATENATE(T_ApifKolone[[#This Row],[Bilans]],T_ApifKolone[[#This Row],[ApifKolona]])</f>
        <v>BPKKolona7</v>
      </c>
      <c r="AB28" t="s">
        <v>135</v>
      </c>
      <c r="AC28" t="s">
        <v>768</v>
      </c>
      <c r="AD28">
        <v>8</v>
      </c>
    </row>
    <row r="29" spans="24:30" x14ac:dyDescent="0.3">
      <c r="AA29" t="str">
        <f>CONCATENATE(T_ApifKolone[[#This Row],[Bilans]],T_ApifKolone[[#This Row],[ApifKolona]])</f>
        <v>BPKKolona8</v>
      </c>
      <c r="AB29" t="s">
        <v>135</v>
      </c>
      <c r="AC29" t="s">
        <v>769</v>
      </c>
      <c r="AD29">
        <v>9</v>
      </c>
    </row>
    <row r="30" spans="24:30" x14ac:dyDescent="0.3">
      <c r="AA30" t="str">
        <f>CONCATENATE(T_ApifKolone[[#This Row],[Bilans]],T_ApifKolone[[#This Row],[ApifKolona]])</f>
        <v>BPKKolona9</v>
      </c>
      <c r="AB30" t="s">
        <v>135</v>
      </c>
      <c r="AC30" t="s">
        <v>1600</v>
      </c>
      <c r="AD30">
        <v>10</v>
      </c>
    </row>
    <row r="31" spans="24:30" x14ac:dyDescent="0.3">
      <c r="AA31" t="str">
        <f>CONCATENATE(T_ApifKolone[[#This Row],[Bilans]],T_ApifKolone[[#This Row],[ApifKolona]])</f>
        <v>BPKKolona10</v>
      </c>
      <c r="AB31" t="s">
        <v>135</v>
      </c>
      <c r="AC31" t="s">
        <v>1601</v>
      </c>
      <c r="AD31">
        <v>11</v>
      </c>
    </row>
    <row r="32" spans="24:30" x14ac:dyDescent="0.3">
      <c r="AA32" t="str">
        <f>CONCATENATE(T_ApifKolone[[#This Row],[Bilans]],T_ApifKolone[[#This Row],[ApifKolona]])</f>
        <v>BPKKolona11</v>
      </c>
      <c r="AB32" t="s">
        <v>135</v>
      </c>
      <c r="AC32" t="s">
        <v>1626</v>
      </c>
      <c r="AD32">
        <v>12</v>
      </c>
    </row>
    <row r="33" spans="27:30" x14ac:dyDescent="0.3">
      <c r="AA33" s="258" t="str">
        <f>CONCATENATE(T_ApifKolone[[#This Row],[Bilans]],T_ApifKolone[[#This Row],[ApifKolona]])</f>
        <v>BPKKolona12</v>
      </c>
      <c r="AB33" s="258" t="s">
        <v>135</v>
      </c>
      <c r="AC33" s="258" t="s">
        <v>1627</v>
      </c>
      <c r="AD33" s="258">
        <v>13</v>
      </c>
    </row>
  </sheetData>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3.8" x14ac:dyDescent="0.3"/>
  <cols>
    <col min="1" max="1" width="4.6640625" customWidth="1"/>
    <col min="2" max="2" width="7.44140625" customWidth="1"/>
    <col min="3" max="3" width="15.44140625" customWidth="1"/>
    <col min="4" max="4" width="29.44140625" customWidth="1"/>
    <col min="5" max="5" width="30.44140625" customWidth="1"/>
    <col min="6" max="6" width="14.109375" customWidth="1"/>
    <col min="7" max="7" width="11.88671875" customWidth="1"/>
    <col min="8" max="8" width="10.33203125" customWidth="1"/>
    <col min="9" max="10" width="8.6640625" customWidth="1"/>
    <col min="11" max="14" width="9.44140625" customWidth="1"/>
  </cols>
  <sheetData>
    <row r="1" spans="1:20" x14ac:dyDescent="0.3">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3">
      <c r="A2" s="105">
        <v>1</v>
      </c>
      <c r="B2" s="105" t="str">
        <f>VLOOKUP( $A2, Aop!$A$2:$P$453, 2, 0)</f>
        <v>BSa</v>
      </c>
      <c r="C2" s="105">
        <v>25</v>
      </c>
      <c r="D2" s="105" t="str">
        <f t="shared" ref="D2:D65" si="0">Podatak_MB</f>
        <v>01755633</v>
      </c>
      <c r="E2" s="105" t="str">
        <f>Podatak_JIB</f>
        <v>4400228130004</v>
      </c>
      <c r="F2" s="105" t="b">
        <f t="shared" ref="F2:F65" si="1">Konsolidovan_izvjestaj</f>
        <v>0</v>
      </c>
      <c r="G2" s="139">
        <f t="shared" ref="G2:G65" si="2">Datum_Broj</f>
        <v>44926</v>
      </c>
      <c r="H2" s="105">
        <v>1</v>
      </c>
      <c r="I2" s="105">
        <f t="shared" ref="I2:I65" si="3">Godina</f>
        <v>2022</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9447048</v>
      </c>
      <c r="L2" s="55">
        <f t="shared" ref="L2:L65" ca="1" si="4">IF( VLOOKUP( $H2, INDIRECT( "Lookup_" &amp; $B2), IF( LEFT( $B2, 2) = "BS", R$2, R$1), 0) = "", "", VLOOKUP( $H2, INDIRECT( "Lookup_" &amp; $B2), IF( $B2 = "BSa", R$2, R$1), 0))</f>
        <v>6320677</v>
      </c>
      <c r="M2" s="55">
        <f ca="1">IF( VLOOKUP( $H2, INDIRECT( "Lookup_" &amp; $B2), IF( LEFT( $B2, 2) = "BS", S$2, S$1), 0) = "", "", VLOOKUP( $H2, INDIRECT( "Lookup_" &amp; $B2), IF( LEFT( $B2, 2) = "BS", S$2, S$1), 0))</f>
        <v>3126371</v>
      </c>
      <c r="N2" s="55">
        <f t="shared" ref="N2:N65" ca="1" si="5">IF( VLOOKUP( $H2, INDIRECT( "Lookup_" &amp; $B2), IF( LEFT( $B2, 2) = "BS", S$2, S$1), 0) = "", "", VLOOKUP( $H2, INDIRECT( "Lookup_" &amp; $B2), IF( LEFT( $B2, 2) = "BS", S$2, S$1), 0))</f>
        <v>3126371</v>
      </c>
      <c r="P2" s="2">
        <v>2</v>
      </c>
      <c r="Q2" s="2">
        <v>3</v>
      </c>
      <c r="R2" s="2">
        <v>4</v>
      </c>
      <c r="S2" s="2">
        <v>5</v>
      </c>
      <c r="T2" s="569">
        <v>6</v>
      </c>
    </row>
    <row r="3" spans="1:20" x14ac:dyDescent="0.3">
      <c r="A3" s="105">
        <v>2</v>
      </c>
      <c r="B3" s="105" t="str">
        <f>VLOOKUP( $A3, Aop!$A$2:$P$453, 2, 0)</f>
        <v>BSa</v>
      </c>
      <c r="C3" s="105">
        <v>25</v>
      </c>
      <c r="D3" s="105" t="str">
        <f t="shared" si="0"/>
        <v>01755633</v>
      </c>
      <c r="E3" s="105" t="str">
        <f t="shared" ref="E3:E65" si="6">Podatak_JIB</f>
        <v>4400228130004</v>
      </c>
      <c r="F3" s="105" t="b">
        <f t="shared" si="1"/>
        <v>0</v>
      </c>
      <c r="G3" s="139">
        <f t="shared" si="2"/>
        <v>44926</v>
      </c>
      <c r="H3" s="105">
        <v>2</v>
      </c>
      <c r="I3" s="105">
        <f t="shared" si="3"/>
        <v>2022</v>
      </c>
      <c r="J3" s="55">
        <f t="shared" ref="J3:J67" ca="1" si="7">IF( VLOOKUP( $H3, INDIRECT( "Lookup_" &amp; $B3), IF( LEFT( $B3, 2) = "BS", P$2, P$1), 0) = "", "", VLOOKUP( $H3, INDIRECT( "Lookup_" &amp; $B3), IF( $B3 = "BSa", P$2, P$1), 0))</f>
        <v>1</v>
      </c>
      <c r="K3" s="55">
        <f t="shared" ref="K3:K67" ca="1" si="8">IF( VLOOKUP( $H3, INDIRECT( "Lookup_" &amp; $B3), IF( LEFT( $B3, 2) = "BS", Q$2, Q$1), 0) = "", "", VLOOKUP( $H3, INDIRECT( "Lookup_" &amp; $B3), IF( $B3 = "BSa", Q$2, Q$1), 0))</f>
        <v>143991</v>
      </c>
      <c r="L3" s="55">
        <f t="shared" ca="1" si="4"/>
        <v>104352</v>
      </c>
      <c r="M3" s="55">
        <f ca="1">IF( VLOOKUP( $H3, INDIRECT( "Lookup_" &amp; $B3), IF( LEFT( $B3, 2) = "BS", S$2, S$1), 0) = "", "", VLOOKUP( $H3, INDIRECT( "Lookup_" &amp; $B3), IF( LEFT( $B3, 2) = "BS", S$2, S$1), 0))</f>
        <v>39639</v>
      </c>
      <c r="N3" s="55">
        <f t="shared" ca="1" si="5"/>
        <v>39639</v>
      </c>
    </row>
    <row r="4" spans="1:20" x14ac:dyDescent="0.3">
      <c r="A4" s="105">
        <v>3</v>
      </c>
      <c r="B4" s="105" t="str">
        <f>VLOOKUP( $A4, Aop!$A$2:$P$453, 2, 0)</f>
        <v>BSa</v>
      </c>
      <c r="C4" s="105">
        <v>25</v>
      </c>
      <c r="D4" s="105" t="str">
        <f t="shared" si="0"/>
        <v>01755633</v>
      </c>
      <c r="E4" s="105" t="str">
        <f t="shared" si="6"/>
        <v>4400228130004</v>
      </c>
      <c r="F4" s="105" t="b">
        <f t="shared" si="1"/>
        <v>0</v>
      </c>
      <c r="G4" s="139">
        <f t="shared" si="2"/>
        <v>44926</v>
      </c>
      <c r="H4" s="105">
        <v>3</v>
      </c>
      <c r="I4" s="105">
        <f t="shared" si="3"/>
        <v>2022</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3">
      <c r="A5" s="105">
        <v>4</v>
      </c>
      <c r="B5" s="105" t="str">
        <f>VLOOKUP( $A5, Aop!$A$2:$P$453, 2, 0)</f>
        <v>BSa</v>
      </c>
      <c r="C5" s="105">
        <v>25</v>
      </c>
      <c r="D5" s="105" t="str">
        <f t="shared" si="0"/>
        <v>01755633</v>
      </c>
      <c r="E5" s="105" t="str">
        <f t="shared" si="6"/>
        <v>4400228130004</v>
      </c>
      <c r="F5" s="105" t="b">
        <f t="shared" si="1"/>
        <v>0</v>
      </c>
      <c r="G5" s="139">
        <f t="shared" si="2"/>
        <v>44926</v>
      </c>
      <c r="H5" s="105">
        <v>4</v>
      </c>
      <c r="I5" s="105">
        <f t="shared" si="3"/>
        <v>2022</v>
      </c>
      <c r="J5" s="55" t="str">
        <f t="shared" ca="1" si="7"/>
        <v/>
      </c>
      <c r="K5" s="55" t="str">
        <f t="shared" ca="1" si="8"/>
        <v/>
      </c>
      <c r="L5" s="55" t="str">
        <f t="shared" ca="1" si="4"/>
        <v/>
      </c>
      <c r="M5" s="55">
        <f t="shared" ca="1" si="9"/>
        <v>0</v>
      </c>
      <c r="N5" s="55">
        <f t="shared" ca="1" si="5"/>
        <v>0</v>
      </c>
    </row>
    <row r="6" spans="1:20" x14ac:dyDescent="0.3">
      <c r="A6" s="105">
        <v>5</v>
      </c>
      <c r="B6" s="105" t="str">
        <f>VLOOKUP( $A6, Aop!$A$2:$P$453, 2, 0)</f>
        <v>BSa</v>
      </c>
      <c r="C6" s="105">
        <v>25</v>
      </c>
      <c r="D6" s="105" t="str">
        <f t="shared" si="0"/>
        <v>01755633</v>
      </c>
      <c r="E6" s="105" t="str">
        <f t="shared" si="6"/>
        <v>4400228130004</v>
      </c>
      <c r="F6" s="105" t="b">
        <f t="shared" si="1"/>
        <v>0</v>
      </c>
      <c r="G6" s="139">
        <f t="shared" si="2"/>
        <v>44926</v>
      </c>
      <c r="H6" s="105">
        <v>5</v>
      </c>
      <c r="I6" s="105">
        <f t="shared" si="3"/>
        <v>2022</v>
      </c>
      <c r="J6" s="55" t="str">
        <f t="shared" ca="1" si="7"/>
        <v/>
      </c>
      <c r="K6" s="55">
        <f t="shared" ca="1" si="8"/>
        <v>126008</v>
      </c>
      <c r="L6" s="55">
        <f t="shared" ca="1" si="4"/>
        <v>86369</v>
      </c>
      <c r="M6" s="55">
        <f t="shared" ca="1" si="9"/>
        <v>39639</v>
      </c>
      <c r="N6" s="55">
        <f t="shared" ca="1" si="5"/>
        <v>39639</v>
      </c>
    </row>
    <row r="7" spans="1:20" x14ac:dyDescent="0.3">
      <c r="A7" s="105">
        <v>6</v>
      </c>
      <c r="B7" s="105" t="str">
        <f>VLOOKUP( $A7, Aop!$A$2:$P$453, 2, 0)</f>
        <v>BSa</v>
      </c>
      <c r="C7" s="105">
        <v>25</v>
      </c>
      <c r="D7" s="105" t="str">
        <f t="shared" si="0"/>
        <v>01755633</v>
      </c>
      <c r="E7" s="105" t="str">
        <f t="shared" si="6"/>
        <v>4400228130004</v>
      </c>
      <c r="F7" s="105" t="b">
        <f t="shared" si="1"/>
        <v>0</v>
      </c>
      <c r="G7" s="139">
        <f t="shared" si="2"/>
        <v>44926</v>
      </c>
      <c r="H7" s="105">
        <v>6</v>
      </c>
      <c r="I7" s="105">
        <f t="shared" si="3"/>
        <v>2022</v>
      </c>
      <c r="J7" s="55" t="str">
        <f t="shared" ca="1" si="7"/>
        <v/>
      </c>
      <c r="K7" s="55">
        <f t="shared" ca="1" si="8"/>
        <v>17983</v>
      </c>
      <c r="L7" s="55">
        <f t="shared" ca="1" si="4"/>
        <v>17983</v>
      </c>
      <c r="M7" s="55">
        <f t="shared" ca="1" si="9"/>
        <v>0</v>
      </c>
      <c r="N7" s="55">
        <f t="shared" ca="1" si="5"/>
        <v>0</v>
      </c>
    </row>
    <row r="8" spans="1:20" x14ac:dyDescent="0.3">
      <c r="A8" s="105">
        <v>7</v>
      </c>
      <c r="B8" s="105" t="str">
        <f>VLOOKUP( $A8, Aop!$A$2:$P$453, 2, 0)</f>
        <v>BSa</v>
      </c>
      <c r="C8" s="105">
        <v>25</v>
      </c>
      <c r="D8" s="105" t="str">
        <f t="shared" si="0"/>
        <v>01755633</v>
      </c>
      <c r="E8" s="105" t="str">
        <f t="shared" si="6"/>
        <v>4400228130004</v>
      </c>
      <c r="F8" s="105" t="b">
        <f t="shared" si="1"/>
        <v>0</v>
      </c>
      <c r="G8" s="139">
        <f t="shared" si="2"/>
        <v>44926</v>
      </c>
      <c r="H8" s="105">
        <v>7</v>
      </c>
      <c r="I8" s="105">
        <f t="shared" si="3"/>
        <v>2022</v>
      </c>
      <c r="J8" s="55" t="str">
        <f t="shared" ca="1" si="7"/>
        <v/>
      </c>
      <c r="K8" s="55" t="str">
        <f t="shared" ca="1" si="8"/>
        <v/>
      </c>
      <c r="L8" s="55" t="str">
        <f t="shared" ca="1" si="4"/>
        <v/>
      </c>
      <c r="M8" s="55">
        <f t="shared" ca="1" si="9"/>
        <v>0</v>
      </c>
      <c r="N8" s="55">
        <f t="shared" ca="1" si="5"/>
        <v>0</v>
      </c>
    </row>
    <row r="9" spans="1:20" x14ac:dyDescent="0.3">
      <c r="A9" s="105">
        <v>8</v>
      </c>
      <c r="B9" s="105" t="str">
        <f>VLOOKUP( $A9, Aop!$A$2:$P$453, 2, 0)</f>
        <v>BSa</v>
      </c>
      <c r="C9" s="105">
        <v>25</v>
      </c>
      <c r="D9" s="105" t="str">
        <f t="shared" si="0"/>
        <v>01755633</v>
      </c>
      <c r="E9" s="105" t="str">
        <f t="shared" si="6"/>
        <v>4400228130004</v>
      </c>
      <c r="F9" s="105" t="b">
        <f t="shared" si="1"/>
        <v>0</v>
      </c>
      <c r="G9" s="139">
        <f t="shared" si="2"/>
        <v>44926</v>
      </c>
      <c r="H9" s="105">
        <v>8</v>
      </c>
      <c r="I9" s="105">
        <f t="shared" si="3"/>
        <v>2022</v>
      </c>
      <c r="J9" s="55">
        <f t="shared" ca="1" si="7"/>
        <v>2</v>
      </c>
      <c r="K9" s="55">
        <f t="shared" ca="1" si="8"/>
        <v>9303057</v>
      </c>
      <c r="L9" s="55">
        <f t="shared" ca="1" si="4"/>
        <v>6216325</v>
      </c>
      <c r="M9" s="55">
        <f t="shared" ca="1" si="9"/>
        <v>3086732</v>
      </c>
      <c r="N9" s="55">
        <f t="shared" ca="1" si="5"/>
        <v>3086732</v>
      </c>
    </row>
    <row r="10" spans="1:20" x14ac:dyDescent="0.3">
      <c r="A10" s="105">
        <v>9</v>
      </c>
      <c r="B10" s="105" t="str">
        <f>VLOOKUP( $A10, Aop!$A$2:$P$453, 2, 0)</f>
        <v>BSa</v>
      </c>
      <c r="C10" s="105">
        <v>25</v>
      </c>
      <c r="D10" s="105" t="str">
        <f t="shared" si="0"/>
        <v>01755633</v>
      </c>
      <c r="E10" s="105" t="str">
        <f t="shared" si="6"/>
        <v>4400228130004</v>
      </c>
      <c r="F10" s="105" t="b">
        <f t="shared" si="1"/>
        <v>0</v>
      </c>
      <c r="G10" s="139">
        <f t="shared" si="2"/>
        <v>44926</v>
      </c>
      <c r="H10" s="105">
        <v>9</v>
      </c>
      <c r="I10" s="105">
        <f t="shared" si="3"/>
        <v>2022</v>
      </c>
      <c r="J10" s="55" t="str">
        <f t="shared" ca="1" si="7"/>
        <v/>
      </c>
      <c r="K10" s="55">
        <f t="shared" ca="1" si="8"/>
        <v>105215</v>
      </c>
      <c r="L10" s="55" t="str">
        <f t="shared" ca="1" si="4"/>
        <v/>
      </c>
      <c r="M10" s="55">
        <f t="shared" ca="1" si="9"/>
        <v>105215</v>
      </c>
      <c r="N10" s="55">
        <f t="shared" ca="1" si="5"/>
        <v>105215</v>
      </c>
    </row>
    <row r="11" spans="1:20" x14ac:dyDescent="0.3">
      <c r="A11" s="105">
        <v>10</v>
      </c>
      <c r="B11" s="105" t="str">
        <f>VLOOKUP( $A11, Aop!$A$2:$P$453, 2, 0)</f>
        <v>BSa</v>
      </c>
      <c r="C11" s="105">
        <v>25</v>
      </c>
      <c r="D11" s="105" t="str">
        <f t="shared" si="0"/>
        <v>01755633</v>
      </c>
      <c r="E11" s="105" t="str">
        <f t="shared" si="6"/>
        <v>4400228130004</v>
      </c>
      <c r="F11" s="105" t="b">
        <f t="shared" si="1"/>
        <v>0</v>
      </c>
      <c r="G11" s="139">
        <f t="shared" si="2"/>
        <v>44926</v>
      </c>
      <c r="H11" s="105">
        <v>10</v>
      </c>
      <c r="I11" s="105">
        <f t="shared" si="3"/>
        <v>2022</v>
      </c>
      <c r="J11" s="55" t="str">
        <f t="shared" ca="1" si="7"/>
        <v/>
      </c>
      <c r="K11" s="55">
        <f t="shared" ca="1" si="8"/>
        <v>1309596</v>
      </c>
      <c r="L11" s="55">
        <f t="shared" ca="1" si="4"/>
        <v>1185908</v>
      </c>
      <c r="M11" s="55">
        <f t="shared" ca="1" si="9"/>
        <v>123688</v>
      </c>
      <c r="N11" s="55">
        <f t="shared" ca="1" si="5"/>
        <v>123688</v>
      </c>
    </row>
    <row r="12" spans="1:20" x14ac:dyDescent="0.3">
      <c r="A12" s="105">
        <v>11</v>
      </c>
      <c r="B12" s="105" t="str">
        <f>VLOOKUP( $A12, Aop!$A$2:$P$453, 2, 0)</f>
        <v>BSa</v>
      </c>
      <c r="C12" s="105">
        <v>25</v>
      </c>
      <c r="D12" s="105" t="str">
        <f t="shared" si="0"/>
        <v>01755633</v>
      </c>
      <c r="E12" s="105" t="str">
        <f t="shared" si="6"/>
        <v>4400228130004</v>
      </c>
      <c r="F12" s="105" t="b">
        <f t="shared" si="1"/>
        <v>0</v>
      </c>
      <c r="G12" s="139">
        <f t="shared" si="2"/>
        <v>44926</v>
      </c>
      <c r="H12" s="105">
        <v>11</v>
      </c>
      <c r="I12" s="105">
        <f t="shared" si="3"/>
        <v>2022</v>
      </c>
      <c r="J12" s="55" t="str">
        <f t="shared" ca="1" si="7"/>
        <v/>
      </c>
      <c r="K12" s="55">
        <f t="shared" ca="1" si="8"/>
        <v>7880423</v>
      </c>
      <c r="L12" s="55">
        <f t="shared" ca="1" si="4"/>
        <v>5030417</v>
      </c>
      <c r="M12" s="55">
        <f t="shared" ca="1" si="9"/>
        <v>2850006</v>
      </c>
      <c r="N12" s="55">
        <f t="shared" ca="1" si="5"/>
        <v>2850006</v>
      </c>
    </row>
    <row r="13" spans="1:20" x14ac:dyDescent="0.3">
      <c r="A13" s="105">
        <v>12</v>
      </c>
      <c r="B13" s="105" t="str">
        <f>VLOOKUP( $A13, Aop!$A$2:$P$453, 2, 0)</f>
        <v>BSa</v>
      </c>
      <c r="C13" s="105">
        <v>25</v>
      </c>
      <c r="D13" s="105" t="str">
        <f t="shared" si="0"/>
        <v>01755633</v>
      </c>
      <c r="E13" s="105" t="str">
        <f t="shared" si="6"/>
        <v>4400228130004</v>
      </c>
      <c r="F13" s="105" t="b">
        <f t="shared" si="1"/>
        <v>0</v>
      </c>
      <c r="G13" s="139">
        <f t="shared" si="2"/>
        <v>44926</v>
      </c>
      <c r="H13" s="105">
        <v>12</v>
      </c>
      <c r="I13" s="105">
        <f t="shared" si="3"/>
        <v>2022</v>
      </c>
      <c r="J13" s="55" t="str">
        <f t="shared" ca="1" si="7"/>
        <v/>
      </c>
      <c r="K13" s="55" t="str">
        <f t="shared" ca="1" si="8"/>
        <v/>
      </c>
      <c r="L13" s="55" t="str">
        <f t="shared" ca="1" si="4"/>
        <v/>
      </c>
      <c r="M13" s="55">
        <f t="shared" ca="1" si="9"/>
        <v>0</v>
      </c>
      <c r="N13" s="55">
        <f t="shared" ca="1" si="5"/>
        <v>0</v>
      </c>
    </row>
    <row r="14" spans="1:20" x14ac:dyDescent="0.3">
      <c r="A14" s="105">
        <v>13</v>
      </c>
      <c r="B14" s="105" t="str">
        <f>VLOOKUP( $A14, Aop!$A$2:$P$453, 2, 0)</f>
        <v>BSa</v>
      </c>
      <c r="C14" s="105">
        <v>25</v>
      </c>
      <c r="D14" s="105" t="str">
        <f t="shared" si="0"/>
        <v>01755633</v>
      </c>
      <c r="E14" s="105" t="str">
        <f t="shared" si="6"/>
        <v>4400228130004</v>
      </c>
      <c r="F14" s="105" t="b">
        <f t="shared" si="1"/>
        <v>0</v>
      </c>
      <c r="G14" s="139">
        <f t="shared" si="2"/>
        <v>44926</v>
      </c>
      <c r="H14" s="105">
        <v>13</v>
      </c>
      <c r="I14" s="105">
        <f t="shared" si="3"/>
        <v>2022</v>
      </c>
      <c r="J14" s="55" t="str">
        <f t="shared" ca="1" si="7"/>
        <v/>
      </c>
      <c r="K14" s="55" t="str">
        <f t="shared" ca="1" si="8"/>
        <v/>
      </c>
      <c r="L14" s="55" t="str">
        <f t="shared" ca="1" si="4"/>
        <v/>
      </c>
      <c r="M14" s="55">
        <f t="shared" ca="1" si="9"/>
        <v>0</v>
      </c>
      <c r="N14" s="55">
        <f t="shared" ca="1" si="5"/>
        <v>0</v>
      </c>
    </row>
    <row r="15" spans="1:20" x14ac:dyDescent="0.3">
      <c r="A15" s="105">
        <v>14</v>
      </c>
      <c r="B15" s="105" t="str">
        <f>VLOOKUP( $A15, Aop!$A$2:$P$453, 2, 0)</f>
        <v>BSa</v>
      </c>
      <c r="C15" s="105">
        <v>25</v>
      </c>
      <c r="D15" s="105" t="str">
        <f t="shared" si="0"/>
        <v>01755633</v>
      </c>
      <c r="E15" s="105" t="str">
        <f t="shared" si="6"/>
        <v>4400228130004</v>
      </c>
      <c r="F15" s="105" t="b">
        <f t="shared" si="1"/>
        <v>0</v>
      </c>
      <c r="G15" s="139">
        <f t="shared" si="2"/>
        <v>44926</v>
      </c>
      <c r="H15" s="105">
        <v>14</v>
      </c>
      <c r="I15" s="105">
        <f t="shared" si="3"/>
        <v>2022</v>
      </c>
      <c r="J15" s="55" t="str">
        <f t="shared" ca="1" si="7"/>
        <v/>
      </c>
      <c r="K15" s="55">
        <f t="shared" ca="1" si="8"/>
        <v>7823</v>
      </c>
      <c r="L15" s="55" t="str">
        <f t="shared" ca="1" si="4"/>
        <v/>
      </c>
      <c r="M15" s="55">
        <f t="shared" ca="1" si="9"/>
        <v>7823</v>
      </c>
      <c r="N15" s="55">
        <f t="shared" ca="1" si="5"/>
        <v>7823</v>
      </c>
    </row>
    <row r="16" spans="1:20" x14ac:dyDescent="0.3">
      <c r="A16" s="105">
        <v>15</v>
      </c>
      <c r="B16" s="105" t="str">
        <f>VLOOKUP( $A16, Aop!$A$2:$P$453, 2, 0)</f>
        <v>BSa</v>
      </c>
      <c r="C16" s="105">
        <v>25</v>
      </c>
      <c r="D16" s="105" t="str">
        <f t="shared" si="0"/>
        <v>01755633</v>
      </c>
      <c r="E16" s="105" t="str">
        <f t="shared" si="6"/>
        <v>4400228130004</v>
      </c>
      <c r="F16" s="105" t="b">
        <f t="shared" si="1"/>
        <v>0</v>
      </c>
      <c r="G16" s="139">
        <f t="shared" si="2"/>
        <v>44926</v>
      </c>
      <c r="H16" s="105">
        <v>15</v>
      </c>
      <c r="I16" s="105">
        <f t="shared" si="3"/>
        <v>2022</v>
      </c>
      <c r="J16" s="55" t="str">
        <f t="shared" ca="1" si="7"/>
        <v/>
      </c>
      <c r="K16" s="55" t="str">
        <f t="shared" ca="1" si="8"/>
        <v/>
      </c>
      <c r="L16" s="55" t="str">
        <f t="shared" ca="1" si="4"/>
        <v/>
      </c>
      <c r="M16" s="55">
        <f t="shared" ca="1" si="9"/>
        <v>0</v>
      </c>
      <c r="N16" s="55">
        <f t="shared" ca="1" si="5"/>
        <v>0</v>
      </c>
    </row>
    <row r="17" spans="1:14" x14ac:dyDescent="0.3">
      <c r="A17" s="105">
        <v>16</v>
      </c>
      <c r="B17" s="105" t="str">
        <f>VLOOKUP( $A17, Aop!$A$2:$P$453, 2, 0)</f>
        <v>BSa</v>
      </c>
      <c r="C17" s="105">
        <v>25</v>
      </c>
      <c r="D17" s="105" t="str">
        <f t="shared" si="0"/>
        <v>01755633</v>
      </c>
      <c r="E17" s="105" t="str">
        <f t="shared" si="6"/>
        <v>4400228130004</v>
      </c>
      <c r="F17" s="105" t="b">
        <f t="shared" si="1"/>
        <v>0</v>
      </c>
      <c r="G17" s="139">
        <f t="shared" si="2"/>
        <v>44926</v>
      </c>
      <c r="H17" s="105">
        <v>16</v>
      </c>
      <c r="I17" s="105">
        <f t="shared" si="3"/>
        <v>2022</v>
      </c>
      <c r="J17" s="55" t="str">
        <f t="shared" ca="1" si="7"/>
        <v/>
      </c>
      <c r="K17" s="55" t="str">
        <f t="shared" ca="1" si="8"/>
        <v/>
      </c>
      <c r="L17" s="55" t="str">
        <f t="shared" ca="1" si="4"/>
        <v/>
      </c>
      <c r="M17" s="55">
        <f t="shared" ca="1" si="9"/>
        <v>0</v>
      </c>
      <c r="N17" s="55">
        <f t="shared" ca="1" si="5"/>
        <v>0</v>
      </c>
    </row>
    <row r="18" spans="1:14" x14ac:dyDescent="0.3">
      <c r="A18" s="105">
        <v>17</v>
      </c>
      <c r="B18" s="105" t="str">
        <f>VLOOKUP( $A18, Aop!$A$2:$P$453, 2, 0)</f>
        <v>BSa</v>
      </c>
      <c r="C18" s="105">
        <v>25</v>
      </c>
      <c r="D18" s="105" t="str">
        <f t="shared" si="0"/>
        <v>01755633</v>
      </c>
      <c r="E18" s="105" t="str">
        <f t="shared" si="6"/>
        <v>4400228130004</v>
      </c>
      <c r="F18" s="105" t="b">
        <f t="shared" si="1"/>
        <v>0</v>
      </c>
      <c r="G18" s="139">
        <f t="shared" si="2"/>
        <v>44926</v>
      </c>
      <c r="H18" s="105">
        <v>17</v>
      </c>
      <c r="I18" s="105">
        <f t="shared" si="3"/>
        <v>2022</v>
      </c>
      <c r="J18" s="55" t="str">
        <f t="shared" ca="1" si="7"/>
        <v/>
      </c>
      <c r="K18" s="55">
        <f t="shared" ca="1" si="8"/>
        <v>0</v>
      </c>
      <c r="L18" s="55">
        <f t="shared" ca="1" si="4"/>
        <v>0</v>
      </c>
      <c r="M18" s="55">
        <f t="shared" ca="1" si="9"/>
        <v>0</v>
      </c>
      <c r="N18" s="55">
        <f t="shared" ca="1" si="5"/>
        <v>0</v>
      </c>
    </row>
    <row r="19" spans="1:14" x14ac:dyDescent="0.3">
      <c r="A19" s="105">
        <v>18</v>
      </c>
      <c r="B19" s="105" t="str">
        <f>VLOOKUP( $A19, Aop!$A$2:$P$453, 2, 0)</f>
        <v>BSa</v>
      </c>
      <c r="C19" s="105">
        <v>25</v>
      </c>
      <c r="D19" s="105" t="str">
        <f t="shared" si="0"/>
        <v>01755633</v>
      </c>
      <c r="E19" s="105" t="str">
        <f t="shared" si="6"/>
        <v>4400228130004</v>
      </c>
      <c r="F19" s="105" t="b">
        <f t="shared" si="1"/>
        <v>0</v>
      </c>
      <c r="G19" s="139">
        <f t="shared" si="2"/>
        <v>44926</v>
      </c>
      <c r="H19" s="105">
        <v>18</v>
      </c>
      <c r="I19" s="105">
        <f t="shared" si="3"/>
        <v>2022</v>
      </c>
      <c r="J19" s="55" t="str">
        <f t="shared" ca="1" si="7"/>
        <v/>
      </c>
      <c r="K19" s="55" t="str">
        <f t="shared" ca="1" si="8"/>
        <v/>
      </c>
      <c r="L19" s="55" t="str">
        <f t="shared" ca="1" si="4"/>
        <v/>
      </c>
      <c r="M19" s="55">
        <f t="shared" ca="1" si="9"/>
        <v>0</v>
      </c>
      <c r="N19" s="55">
        <f t="shared" ca="1" si="5"/>
        <v>0</v>
      </c>
    </row>
    <row r="20" spans="1:14" x14ac:dyDescent="0.3">
      <c r="A20" s="105">
        <v>19</v>
      </c>
      <c r="B20" s="105" t="str">
        <f>VLOOKUP( $A20, Aop!$A$2:$P$453, 2, 0)</f>
        <v>BSa</v>
      </c>
      <c r="C20" s="105">
        <v>25</v>
      </c>
      <c r="D20" s="105" t="str">
        <f t="shared" si="0"/>
        <v>01755633</v>
      </c>
      <c r="E20" s="105" t="str">
        <f t="shared" si="6"/>
        <v>4400228130004</v>
      </c>
      <c r="F20" s="105" t="b">
        <f t="shared" si="1"/>
        <v>0</v>
      </c>
      <c r="G20" s="139">
        <f t="shared" si="2"/>
        <v>44926</v>
      </c>
      <c r="H20" s="105">
        <v>19</v>
      </c>
      <c r="I20" s="105">
        <f t="shared" si="3"/>
        <v>2022</v>
      </c>
      <c r="J20" s="55" t="str">
        <f t="shared" ca="1" si="7"/>
        <v/>
      </c>
      <c r="K20" s="55" t="str">
        <f t="shared" ca="1" si="8"/>
        <v/>
      </c>
      <c r="L20" s="55" t="str">
        <f t="shared" ca="1" si="4"/>
        <v/>
      </c>
      <c r="M20" s="55">
        <f t="shared" ca="1" si="9"/>
        <v>0</v>
      </c>
      <c r="N20" s="55">
        <f t="shared" ca="1" si="5"/>
        <v>0</v>
      </c>
    </row>
    <row r="21" spans="1:14" x14ac:dyDescent="0.3">
      <c r="A21" s="105">
        <v>20</v>
      </c>
      <c r="B21" s="105" t="str">
        <f>VLOOKUP( $A21, Aop!$A$2:$P$453, 2, 0)</f>
        <v>BSa</v>
      </c>
      <c r="C21" s="105">
        <v>25</v>
      </c>
      <c r="D21" s="105" t="str">
        <f t="shared" si="0"/>
        <v>01755633</v>
      </c>
      <c r="E21" s="105" t="str">
        <f t="shared" si="6"/>
        <v>4400228130004</v>
      </c>
      <c r="F21" s="105" t="b">
        <f t="shared" si="1"/>
        <v>0</v>
      </c>
      <c r="G21" s="139">
        <f t="shared" si="2"/>
        <v>44926</v>
      </c>
      <c r="H21" s="105">
        <v>20</v>
      </c>
      <c r="I21" s="105">
        <f t="shared" si="3"/>
        <v>2022</v>
      </c>
      <c r="J21" s="55" t="str">
        <f t="shared" ca="1" si="7"/>
        <v/>
      </c>
      <c r="K21" s="55" t="str">
        <f t="shared" ca="1" si="8"/>
        <v/>
      </c>
      <c r="L21" s="55" t="str">
        <f t="shared" ca="1" si="4"/>
        <v/>
      </c>
      <c r="M21" s="55">
        <f t="shared" ca="1" si="9"/>
        <v>0</v>
      </c>
      <c r="N21" s="55">
        <f t="shared" ca="1" si="5"/>
        <v>0</v>
      </c>
    </row>
    <row r="22" spans="1:14" x14ac:dyDescent="0.3">
      <c r="A22" s="105">
        <v>21</v>
      </c>
      <c r="B22" s="105" t="str">
        <f>VLOOKUP( $A22, Aop!$A$2:$P$453, 2, 0)</f>
        <v>BSa</v>
      </c>
      <c r="C22" s="105">
        <v>25</v>
      </c>
      <c r="D22" s="105" t="str">
        <f t="shared" si="0"/>
        <v>01755633</v>
      </c>
      <c r="E22" s="105" t="str">
        <f t="shared" si="6"/>
        <v>4400228130004</v>
      </c>
      <c r="F22" s="105" t="b">
        <f t="shared" si="1"/>
        <v>0</v>
      </c>
      <c r="G22" s="139">
        <f t="shared" si="2"/>
        <v>44926</v>
      </c>
      <c r="H22" s="105">
        <v>21</v>
      </c>
      <c r="I22" s="105">
        <f t="shared" si="3"/>
        <v>2022</v>
      </c>
      <c r="J22" s="55" t="str">
        <f t="shared" ca="1" si="7"/>
        <v/>
      </c>
      <c r="K22" s="55" t="str">
        <f t="shared" ca="1" si="8"/>
        <v/>
      </c>
      <c r="L22" s="55" t="str">
        <f t="shared" ca="1" si="4"/>
        <v/>
      </c>
      <c r="M22" s="55">
        <f t="shared" ca="1" si="9"/>
        <v>0</v>
      </c>
      <c r="N22" s="55">
        <f t="shared" ca="1" si="5"/>
        <v>0</v>
      </c>
    </row>
    <row r="23" spans="1:14" x14ac:dyDescent="0.3">
      <c r="A23" s="105">
        <v>22</v>
      </c>
      <c r="B23" s="105" t="str">
        <f>VLOOKUP( $A23, Aop!$A$2:$P$453, 2, 0)</f>
        <v>BSa</v>
      </c>
      <c r="C23" s="105">
        <v>25</v>
      </c>
      <c r="D23" s="105" t="str">
        <f t="shared" si="0"/>
        <v>01755633</v>
      </c>
      <c r="E23" s="105" t="str">
        <f t="shared" si="6"/>
        <v>4400228130004</v>
      </c>
      <c r="F23" s="105" t="b">
        <f t="shared" si="1"/>
        <v>0</v>
      </c>
      <c r="G23" s="139">
        <f t="shared" si="2"/>
        <v>44926</v>
      </c>
      <c r="H23" s="105">
        <v>22</v>
      </c>
      <c r="I23" s="105">
        <f t="shared" si="3"/>
        <v>2022</v>
      </c>
      <c r="J23" s="55" t="str">
        <f t="shared" ca="1" si="7"/>
        <v/>
      </c>
      <c r="K23" s="55">
        <f t="shared" ca="1" si="8"/>
        <v>0</v>
      </c>
      <c r="L23" s="55">
        <f t="shared" ca="1" si="4"/>
        <v>0</v>
      </c>
      <c r="M23" s="55">
        <f t="shared" ca="1" si="9"/>
        <v>0</v>
      </c>
      <c r="N23" s="55">
        <f t="shared" ca="1" si="5"/>
        <v>0</v>
      </c>
    </row>
    <row r="24" spans="1:14" x14ac:dyDescent="0.3">
      <c r="A24" s="105">
        <v>23</v>
      </c>
      <c r="B24" s="105" t="str">
        <f>VLOOKUP( $A24, Aop!$A$2:$P$453, 2, 0)</f>
        <v>BSa</v>
      </c>
      <c r="C24" s="105">
        <v>25</v>
      </c>
      <c r="D24" s="105" t="str">
        <f t="shared" si="0"/>
        <v>01755633</v>
      </c>
      <c r="E24" s="105" t="str">
        <f t="shared" si="6"/>
        <v>4400228130004</v>
      </c>
      <c r="F24" s="105" t="b">
        <f t="shared" si="1"/>
        <v>0</v>
      </c>
      <c r="G24" s="139">
        <f t="shared" si="2"/>
        <v>44926</v>
      </c>
      <c r="H24" s="105">
        <v>23</v>
      </c>
      <c r="I24" s="105">
        <f t="shared" si="3"/>
        <v>2022</v>
      </c>
      <c r="J24" s="55" t="str">
        <f t="shared" ca="1" si="7"/>
        <v/>
      </c>
      <c r="K24" s="55" t="str">
        <f t="shared" ca="1" si="8"/>
        <v/>
      </c>
      <c r="L24" s="55" t="str">
        <f t="shared" ca="1" si="4"/>
        <v/>
      </c>
      <c r="M24" s="55">
        <f t="shared" ca="1" si="9"/>
        <v>0</v>
      </c>
      <c r="N24" s="55">
        <f t="shared" ca="1" si="5"/>
        <v>0</v>
      </c>
    </row>
    <row r="25" spans="1:14" x14ac:dyDescent="0.3">
      <c r="A25" s="105">
        <v>24</v>
      </c>
      <c r="B25" s="105" t="str">
        <f>VLOOKUP( $A25, Aop!$A$2:$P$453, 2, 0)</f>
        <v>BSa</v>
      </c>
      <c r="C25" s="105">
        <v>25</v>
      </c>
      <c r="D25" s="105" t="str">
        <f t="shared" si="0"/>
        <v>01755633</v>
      </c>
      <c r="E25" s="105" t="str">
        <f t="shared" si="6"/>
        <v>4400228130004</v>
      </c>
      <c r="F25" s="105" t="b">
        <f t="shared" si="1"/>
        <v>0</v>
      </c>
      <c r="G25" s="139">
        <f t="shared" si="2"/>
        <v>44926</v>
      </c>
      <c r="H25" s="105">
        <v>24</v>
      </c>
      <c r="I25" s="105">
        <f t="shared" si="3"/>
        <v>2022</v>
      </c>
      <c r="J25" s="55" t="str">
        <f t="shared" ca="1" si="7"/>
        <v/>
      </c>
      <c r="K25" s="55" t="str">
        <f t="shared" ca="1" si="8"/>
        <v/>
      </c>
      <c r="L25" s="55" t="str">
        <f t="shared" ca="1" si="4"/>
        <v/>
      </c>
      <c r="M25" s="55">
        <f t="shared" ca="1" si="9"/>
        <v>0</v>
      </c>
      <c r="N25" s="55">
        <f t="shared" ca="1" si="5"/>
        <v>0</v>
      </c>
    </row>
    <row r="26" spans="1:14" x14ac:dyDescent="0.3">
      <c r="A26" s="105">
        <v>25</v>
      </c>
      <c r="B26" s="105" t="str">
        <f>VLOOKUP( $A26, Aop!$A$2:$P$453, 2, 0)</f>
        <v>BSa</v>
      </c>
      <c r="C26" s="105">
        <v>25</v>
      </c>
      <c r="D26" s="105" t="str">
        <f t="shared" si="0"/>
        <v>01755633</v>
      </c>
      <c r="E26" s="105" t="str">
        <f t="shared" si="6"/>
        <v>4400228130004</v>
      </c>
      <c r="F26" s="105" t="b">
        <f t="shared" si="1"/>
        <v>0</v>
      </c>
      <c r="G26" s="139">
        <f t="shared" si="2"/>
        <v>44926</v>
      </c>
      <c r="H26" s="105">
        <v>25</v>
      </c>
      <c r="I26" s="105">
        <f t="shared" si="3"/>
        <v>2022</v>
      </c>
      <c r="J26" s="55" t="str">
        <f t="shared" ca="1" si="7"/>
        <v/>
      </c>
      <c r="K26" s="55">
        <f t="shared" ca="1" si="8"/>
        <v>0</v>
      </c>
      <c r="L26" s="55">
        <f t="shared" ca="1" si="4"/>
        <v>0</v>
      </c>
      <c r="M26" s="55">
        <f t="shared" ca="1" si="9"/>
        <v>0</v>
      </c>
      <c r="N26" s="55">
        <f t="shared" ca="1" si="5"/>
        <v>0</v>
      </c>
    </row>
    <row r="27" spans="1:14" x14ac:dyDescent="0.3">
      <c r="A27" s="105">
        <v>26</v>
      </c>
      <c r="B27" s="105" t="str">
        <f>VLOOKUP( $A27, Aop!$A$2:$P$453, 2, 0)</f>
        <v>BSa</v>
      </c>
      <c r="C27" s="105">
        <v>25</v>
      </c>
      <c r="D27" s="105" t="str">
        <f t="shared" si="0"/>
        <v>01755633</v>
      </c>
      <c r="E27" s="105" t="str">
        <f t="shared" si="6"/>
        <v>4400228130004</v>
      </c>
      <c r="F27" s="105" t="b">
        <f t="shared" si="1"/>
        <v>0</v>
      </c>
      <c r="G27" s="139">
        <f t="shared" si="2"/>
        <v>44926</v>
      </c>
      <c r="H27" s="105">
        <v>26</v>
      </c>
      <c r="I27" s="105">
        <f t="shared" si="3"/>
        <v>2022</v>
      </c>
      <c r="J27" s="55" t="str">
        <f t="shared" ca="1" si="7"/>
        <v/>
      </c>
      <c r="K27" s="55" t="str">
        <f t="shared" ca="1" si="8"/>
        <v/>
      </c>
      <c r="L27" s="55" t="str">
        <f t="shared" ca="1" si="4"/>
        <v/>
      </c>
      <c r="M27" s="55">
        <f t="shared" ca="1" si="9"/>
        <v>0</v>
      </c>
      <c r="N27" s="55">
        <f t="shared" ca="1" si="5"/>
        <v>0</v>
      </c>
    </row>
    <row r="28" spans="1:14" x14ac:dyDescent="0.3">
      <c r="A28" s="105">
        <v>27</v>
      </c>
      <c r="B28" s="105" t="str">
        <f>VLOOKUP( $A28, Aop!$A$2:$P$453, 2, 0)</f>
        <v>BSa</v>
      </c>
      <c r="C28" s="105">
        <v>25</v>
      </c>
      <c r="D28" s="105" t="str">
        <f t="shared" si="0"/>
        <v>01755633</v>
      </c>
      <c r="E28" s="105" t="str">
        <f t="shared" si="6"/>
        <v>4400228130004</v>
      </c>
      <c r="F28" s="105" t="b">
        <f t="shared" si="1"/>
        <v>0</v>
      </c>
      <c r="G28" s="139">
        <f t="shared" si="2"/>
        <v>44926</v>
      </c>
      <c r="H28" s="105">
        <v>27</v>
      </c>
      <c r="I28" s="105">
        <f t="shared" si="3"/>
        <v>2022</v>
      </c>
      <c r="J28" s="55" t="str">
        <f t="shared" ca="1" si="7"/>
        <v/>
      </c>
      <c r="K28" s="55" t="str">
        <f t="shared" ca="1" si="8"/>
        <v/>
      </c>
      <c r="L28" s="55" t="str">
        <f t="shared" ca="1" si="4"/>
        <v/>
      </c>
      <c r="M28" s="55">
        <f t="shared" ca="1" si="9"/>
        <v>0</v>
      </c>
      <c r="N28" s="55">
        <f t="shared" ca="1" si="5"/>
        <v>0</v>
      </c>
    </row>
    <row r="29" spans="1:14" x14ac:dyDescent="0.3">
      <c r="A29" s="105">
        <v>28</v>
      </c>
      <c r="B29" s="105" t="str">
        <f>VLOOKUP( $A29, Aop!$A$2:$P$453, 2, 0)</f>
        <v>BSa</v>
      </c>
      <c r="C29" s="105">
        <v>25</v>
      </c>
      <c r="D29" s="105" t="str">
        <f t="shared" si="0"/>
        <v>01755633</v>
      </c>
      <c r="E29" s="105" t="str">
        <f t="shared" si="6"/>
        <v>4400228130004</v>
      </c>
      <c r="F29" s="105" t="b">
        <f t="shared" si="1"/>
        <v>0</v>
      </c>
      <c r="G29" s="139">
        <f t="shared" si="2"/>
        <v>44926</v>
      </c>
      <c r="H29" s="105">
        <v>28</v>
      </c>
      <c r="I29" s="105">
        <f t="shared" si="3"/>
        <v>2022</v>
      </c>
      <c r="J29" s="55" t="str">
        <f t="shared" ca="1" si="7"/>
        <v/>
      </c>
      <c r="K29" s="55" t="str">
        <f t="shared" ca="1" si="8"/>
        <v/>
      </c>
      <c r="L29" s="55" t="str">
        <f t="shared" ca="1" si="4"/>
        <v/>
      </c>
      <c r="M29" s="55">
        <f t="shared" ca="1" si="9"/>
        <v>0</v>
      </c>
      <c r="N29" s="55">
        <f t="shared" ca="1" si="5"/>
        <v>0</v>
      </c>
    </row>
    <row r="30" spans="1:14" x14ac:dyDescent="0.3">
      <c r="A30" s="105">
        <v>29</v>
      </c>
      <c r="B30" s="105" t="str">
        <f>VLOOKUP( $A30, Aop!$A$2:$P$453, 2, 0)</f>
        <v>BSa</v>
      </c>
      <c r="C30" s="105">
        <v>25</v>
      </c>
      <c r="D30" s="105" t="str">
        <f t="shared" si="0"/>
        <v>01755633</v>
      </c>
      <c r="E30" s="105" t="str">
        <f t="shared" si="6"/>
        <v>4400228130004</v>
      </c>
      <c r="F30" s="105" t="b">
        <f t="shared" si="1"/>
        <v>0</v>
      </c>
      <c r="G30" s="139">
        <f t="shared" si="2"/>
        <v>44926</v>
      </c>
      <c r="H30" s="105">
        <v>29</v>
      </c>
      <c r="I30" s="105">
        <f t="shared" si="3"/>
        <v>2022</v>
      </c>
      <c r="J30" s="55" t="str">
        <f t="shared" ca="1" si="7"/>
        <v/>
      </c>
      <c r="K30" s="55" t="str">
        <f t="shared" ca="1" si="8"/>
        <v/>
      </c>
      <c r="L30" s="55" t="str">
        <f t="shared" ca="1" si="4"/>
        <v/>
      </c>
      <c r="M30" s="55">
        <f t="shared" ca="1" si="9"/>
        <v>0</v>
      </c>
      <c r="N30" s="55">
        <f t="shared" ca="1" si="5"/>
        <v>0</v>
      </c>
    </row>
    <row r="31" spans="1:14" x14ac:dyDescent="0.3">
      <c r="A31" s="105">
        <v>30</v>
      </c>
      <c r="B31" s="105" t="str">
        <f>VLOOKUP( $A31, Aop!$A$2:$P$453, 2, 0)</f>
        <v>BSa</v>
      </c>
      <c r="C31" s="105">
        <v>25</v>
      </c>
      <c r="D31" s="105" t="str">
        <f t="shared" si="0"/>
        <v>01755633</v>
      </c>
      <c r="E31" s="105" t="str">
        <f t="shared" si="6"/>
        <v>4400228130004</v>
      </c>
      <c r="F31" s="105" t="b">
        <f t="shared" si="1"/>
        <v>0</v>
      </c>
      <c r="G31" s="139">
        <f t="shared" si="2"/>
        <v>44926</v>
      </c>
      <c r="H31" s="105">
        <v>30</v>
      </c>
      <c r="I31" s="105">
        <f t="shared" si="3"/>
        <v>2022</v>
      </c>
      <c r="J31" s="55" t="str">
        <f t="shared" ca="1" si="7"/>
        <v/>
      </c>
      <c r="K31" s="55">
        <f t="shared" ca="1" si="8"/>
        <v>0</v>
      </c>
      <c r="L31" s="55">
        <f t="shared" ca="1" si="4"/>
        <v>0</v>
      </c>
      <c r="M31" s="55">
        <f t="shared" ca="1" si="9"/>
        <v>0</v>
      </c>
      <c r="N31" s="55">
        <f t="shared" ca="1" si="5"/>
        <v>0</v>
      </c>
    </row>
    <row r="32" spans="1:14" x14ac:dyDescent="0.3">
      <c r="A32" s="105">
        <v>31</v>
      </c>
      <c r="B32" s="105" t="str">
        <f>VLOOKUP( $A32, Aop!$A$2:$P$453, 2, 0)</f>
        <v>BSa</v>
      </c>
      <c r="C32" s="105">
        <v>25</v>
      </c>
      <c r="D32" s="105" t="str">
        <f t="shared" si="0"/>
        <v>01755633</v>
      </c>
      <c r="E32" s="105" t="str">
        <f t="shared" si="6"/>
        <v>4400228130004</v>
      </c>
      <c r="F32" s="105" t="b">
        <f t="shared" si="1"/>
        <v>0</v>
      </c>
      <c r="G32" s="139">
        <f t="shared" si="2"/>
        <v>44926</v>
      </c>
      <c r="H32" s="105">
        <v>31</v>
      </c>
      <c r="I32" s="105">
        <f t="shared" si="3"/>
        <v>2022</v>
      </c>
      <c r="J32" s="55" t="str">
        <f t="shared" ca="1" si="7"/>
        <v/>
      </c>
      <c r="K32" s="55" t="str">
        <f t="shared" ca="1" si="8"/>
        <v/>
      </c>
      <c r="L32" s="55" t="str">
        <f t="shared" ca="1" si="4"/>
        <v/>
      </c>
      <c r="M32" s="55">
        <f t="shared" ca="1" si="9"/>
        <v>0</v>
      </c>
      <c r="N32" s="55">
        <f t="shared" ca="1" si="5"/>
        <v>0</v>
      </c>
    </row>
    <row r="33" spans="1:14" x14ac:dyDescent="0.3">
      <c r="A33" s="105">
        <v>32</v>
      </c>
      <c r="B33" s="105" t="str">
        <f>VLOOKUP( $A33, Aop!$A$2:$P$453, 2, 0)</f>
        <v>BSa</v>
      </c>
      <c r="C33" s="105">
        <v>25</v>
      </c>
      <c r="D33" s="105" t="str">
        <f t="shared" si="0"/>
        <v>01755633</v>
      </c>
      <c r="E33" s="105" t="str">
        <f t="shared" si="6"/>
        <v>4400228130004</v>
      </c>
      <c r="F33" s="105" t="b">
        <f t="shared" si="1"/>
        <v>0</v>
      </c>
      <c r="G33" s="139">
        <f t="shared" si="2"/>
        <v>44926</v>
      </c>
      <c r="H33" s="105">
        <v>32</v>
      </c>
      <c r="I33" s="105">
        <f t="shared" si="3"/>
        <v>2022</v>
      </c>
      <c r="J33" s="55" t="str">
        <f t="shared" ca="1" si="7"/>
        <v/>
      </c>
      <c r="K33" s="55" t="str">
        <f t="shared" ca="1" si="8"/>
        <v/>
      </c>
      <c r="L33" s="55" t="str">
        <f t="shared" ca="1" si="4"/>
        <v/>
      </c>
      <c r="M33" s="55">
        <f t="shared" ca="1" si="9"/>
        <v>0</v>
      </c>
      <c r="N33" s="55">
        <f t="shared" ca="1" si="5"/>
        <v>0</v>
      </c>
    </row>
    <row r="34" spans="1:14" x14ac:dyDescent="0.3">
      <c r="A34" s="105">
        <v>33</v>
      </c>
      <c r="B34" s="105" t="str">
        <f>VLOOKUP( $A34, Aop!$A$2:$P$453, 2, 0)</f>
        <v>BSa</v>
      </c>
      <c r="C34" s="105">
        <v>25</v>
      </c>
      <c r="D34" s="105" t="str">
        <f t="shared" si="0"/>
        <v>01755633</v>
      </c>
      <c r="E34" s="105" t="str">
        <f t="shared" si="6"/>
        <v>4400228130004</v>
      </c>
      <c r="F34" s="105" t="b">
        <f t="shared" si="1"/>
        <v>0</v>
      </c>
      <c r="G34" s="139">
        <f t="shared" si="2"/>
        <v>44926</v>
      </c>
      <c r="H34" s="105">
        <v>33</v>
      </c>
      <c r="I34" s="105">
        <f t="shared" si="3"/>
        <v>2022</v>
      </c>
      <c r="J34" s="55" t="str">
        <f t="shared" ca="1" si="7"/>
        <v/>
      </c>
      <c r="K34" s="55" t="str">
        <f t="shared" ca="1" si="8"/>
        <v/>
      </c>
      <c r="L34" s="55" t="str">
        <f t="shared" ca="1" si="4"/>
        <v/>
      </c>
      <c r="M34" s="55">
        <f t="shared" ca="1" si="9"/>
        <v>0</v>
      </c>
      <c r="N34" s="55">
        <f t="shared" ca="1" si="5"/>
        <v>0</v>
      </c>
    </row>
    <row r="35" spans="1:14" x14ac:dyDescent="0.3">
      <c r="A35" s="105">
        <v>34</v>
      </c>
      <c r="B35" s="105" t="str">
        <f>VLOOKUP( $A35, Aop!$A$2:$P$453, 2, 0)</f>
        <v>BSa</v>
      </c>
      <c r="C35" s="105">
        <v>25</v>
      </c>
      <c r="D35" s="105" t="str">
        <f t="shared" si="0"/>
        <v>01755633</v>
      </c>
      <c r="E35" s="105" t="str">
        <f t="shared" si="6"/>
        <v>4400228130004</v>
      </c>
      <c r="F35" s="105" t="b">
        <f t="shared" si="1"/>
        <v>0</v>
      </c>
      <c r="G35" s="139">
        <f t="shared" si="2"/>
        <v>44926</v>
      </c>
      <c r="H35" s="105">
        <v>34</v>
      </c>
      <c r="I35" s="105">
        <f t="shared" si="3"/>
        <v>2022</v>
      </c>
      <c r="J35" s="55" t="str">
        <f t="shared" ca="1" si="7"/>
        <v/>
      </c>
      <c r="K35" s="55" t="str">
        <f t="shared" ca="1" si="8"/>
        <v/>
      </c>
      <c r="L35" s="55" t="str">
        <f t="shared" ca="1" si="4"/>
        <v/>
      </c>
      <c r="M35" s="55">
        <f t="shared" ca="1" si="9"/>
        <v>0</v>
      </c>
      <c r="N35" s="55">
        <f t="shared" ca="1" si="5"/>
        <v>0</v>
      </c>
    </row>
    <row r="36" spans="1:14" x14ac:dyDescent="0.3">
      <c r="A36" s="105">
        <v>35</v>
      </c>
      <c r="B36" s="105" t="str">
        <f>VLOOKUP( $A36, Aop!$A$2:$P$453, 2, 0)</f>
        <v>BSa</v>
      </c>
      <c r="C36" s="105">
        <v>25</v>
      </c>
      <c r="D36" s="105" t="str">
        <f t="shared" si="0"/>
        <v>01755633</v>
      </c>
      <c r="E36" s="105" t="str">
        <f t="shared" si="6"/>
        <v>4400228130004</v>
      </c>
      <c r="F36" s="105" t="b">
        <f t="shared" si="1"/>
        <v>0</v>
      </c>
      <c r="G36" s="139">
        <f t="shared" si="2"/>
        <v>44926</v>
      </c>
      <c r="H36" s="105">
        <v>35</v>
      </c>
      <c r="I36" s="105">
        <f t="shared" si="3"/>
        <v>2022</v>
      </c>
      <c r="J36" s="55" t="str">
        <f t="shared" ca="1" si="7"/>
        <v/>
      </c>
      <c r="K36" s="55" t="str">
        <f t="shared" ca="1" si="8"/>
        <v/>
      </c>
      <c r="L36" s="55" t="str">
        <f t="shared" ca="1" si="4"/>
        <v/>
      </c>
      <c r="M36" s="55">
        <f t="shared" ca="1" si="9"/>
        <v>0</v>
      </c>
      <c r="N36" s="55">
        <f t="shared" ca="1" si="5"/>
        <v>0</v>
      </c>
    </row>
    <row r="37" spans="1:14" x14ac:dyDescent="0.3">
      <c r="A37" s="105">
        <v>36</v>
      </c>
      <c r="B37" s="105" t="str">
        <f>VLOOKUP( $A37, Aop!$A$2:$P$453, 2, 0)</f>
        <v>BSa</v>
      </c>
      <c r="C37" s="105">
        <v>25</v>
      </c>
      <c r="D37" s="105" t="str">
        <f t="shared" si="0"/>
        <v>01755633</v>
      </c>
      <c r="E37" s="105" t="str">
        <f t="shared" si="6"/>
        <v>4400228130004</v>
      </c>
      <c r="F37" s="105" t="b">
        <f t="shared" si="1"/>
        <v>0</v>
      </c>
      <c r="G37" s="139">
        <f t="shared" si="2"/>
        <v>44926</v>
      </c>
      <c r="H37" s="105">
        <v>36</v>
      </c>
      <c r="I37" s="105">
        <f t="shared" si="3"/>
        <v>2022</v>
      </c>
      <c r="J37" s="55" t="str">
        <f t="shared" ca="1" si="7"/>
        <v/>
      </c>
      <c r="K37" s="55">
        <f t="shared" ca="1" si="8"/>
        <v>2623367</v>
      </c>
      <c r="L37" s="55">
        <f t="shared" ca="1" si="4"/>
        <v>328142</v>
      </c>
      <c r="M37" s="55">
        <f t="shared" ca="1" si="9"/>
        <v>2295225</v>
      </c>
      <c r="N37" s="55">
        <f t="shared" ca="1" si="5"/>
        <v>2295225</v>
      </c>
    </row>
    <row r="38" spans="1:14" x14ac:dyDescent="0.3">
      <c r="A38" s="105">
        <v>37</v>
      </c>
      <c r="B38" s="105" t="str">
        <f>VLOOKUP( $A38, Aop!$A$2:$P$453, 2, 0)</f>
        <v>BSa</v>
      </c>
      <c r="C38" s="105">
        <v>25</v>
      </c>
      <c r="D38" s="105" t="str">
        <f t="shared" si="0"/>
        <v>01755633</v>
      </c>
      <c r="E38" s="105" t="str">
        <f t="shared" si="6"/>
        <v>4400228130004</v>
      </c>
      <c r="F38" s="105" t="b">
        <f t="shared" si="1"/>
        <v>0</v>
      </c>
      <c r="G38" s="139">
        <f t="shared" si="2"/>
        <v>44926</v>
      </c>
      <c r="H38" s="105">
        <v>37</v>
      </c>
      <c r="I38" s="105">
        <f t="shared" si="3"/>
        <v>2022</v>
      </c>
      <c r="J38" s="55">
        <f t="shared" ca="1" si="7"/>
        <v>3</v>
      </c>
      <c r="K38" s="55">
        <f t="shared" ca="1" si="8"/>
        <v>264512</v>
      </c>
      <c r="L38" s="55">
        <f t="shared" ca="1" si="4"/>
        <v>21402</v>
      </c>
      <c r="M38" s="55">
        <f t="shared" ca="1" si="9"/>
        <v>243110</v>
      </c>
      <c r="N38" s="55">
        <f t="shared" ca="1" si="5"/>
        <v>243110</v>
      </c>
    </row>
    <row r="39" spans="1:14" x14ac:dyDescent="0.3">
      <c r="A39" s="105">
        <v>38</v>
      </c>
      <c r="B39" s="105" t="str">
        <f>VLOOKUP( $A39, Aop!$A$2:$P$453, 2, 0)</f>
        <v>BSa</v>
      </c>
      <c r="C39" s="105">
        <v>25</v>
      </c>
      <c r="D39" s="105" t="str">
        <f t="shared" si="0"/>
        <v>01755633</v>
      </c>
      <c r="E39" s="105" t="str">
        <f t="shared" si="6"/>
        <v>4400228130004</v>
      </c>
      <c r="F39" s="105" t="b">
        <f t="shared" si="1"/>
        <v>0</v>
      </c>
      <c r="G39" s="139">
        <f t="shared" si="2"/>
        <v>44926</v>
      </c>
      <c r="H39" s="105">
        <v>38</v>
      </c>
      <c r="I39" s="105">
        <f t="shared" si="3"/>
        <v>2022</v>
      </c>
      <c r="J39" s="55" t="str">
        <f t="shared" ca="1" si="7"/>
        <v/>
      </c>
      <c r="K39" s="55">
        <f t="shared" ca="1" si="8"/>
        <v>174235</v>
      </c>
      <c r="L39" s="55">
        <f t="shared" ca="1" si="4"/>
        <v>21402</v>
      </c>
      <c r="M39" s="55">
        <f t="shared" ca="1" si="9"/>
        <v>152833</v>
      </c>
      <c r="N39" s="55">
        <f t="shared" ca="1" si="5"/>
        <v>152833</v>
      </c>
    </row>
    <row r="40" spans="1:14" x14ac:dyDescent="0.3">
      <c r="A40" s="105">
        <v>39</v>
      </c>
      <c r="B40" s="105" t="str">
        <f>VLOOKUP( $A40, Aop!$A$2:$P$453, 2, 0)</f>
        <v>BSa</v>
      </c>
      <c r="C40" s="105">
        <v>25</v>
      </c>
      <c r="D40" s="105" t="str">
        <f t="shared" si="0"/>
        <v>01755633</v>
      </c>
      <c r="E40" s="105" t="str">
        <f t="shared" si="6"/>
        <v>4400228130004</v>
      </c>
      <c r="F40" s="105" t="b">
        <f t="shared" si="1"/>
        <v>0</v>
      </c>
      <c r="G40" s="139">
        <f t="shared" si="2"/>
        <v>44926</v>
      </c>
      <c r="H40" s="105">
        <v>39</v>
      </c>
      <c r="I40" s="105">
        <f t="shared" si="3"/>
        <v>2022</v>
      </c>
      <c r="J40" s="55" t="str">
        <f t="shared" ca="1" si="7"/>
        <v/>
      </c>
      <c r="K40" s="55" t="str">
        <f t="shared" ca="1" si="8"/>
        <v/>
      </c>
      <c r="L40" s="55" t="str">
        <f t="shared" ca="1" si="4"/>
        <v/>
      </c>
      <c r="M40" s="55">
        <f t="shared" ca="1" si="9"/>
        <v>0</v>
      </c>
      <c r="N40" s="55">
        <f t="shared" ca="1" si="5"/>
        <v>0</v>
      </c>
    </row>
    <row r="41" spans="1:14" x14ac:dyDescent="0.3">
      <c r="A41" s="105">
        <v>40</v>
      </c>
      <c r="B41" s="105" t="str">
        <f>VLOOKUP( $A41, Aop!$A$2:$P$453, 2, 0)</f>
        <v>BSa</v>
      </c>
      <c r="C41" s="105">
        <v>25</v>
      </c>
      <c r="D41" s="105" t="str">
        <f t="shared" si="0"/>
        <v>01755633</v>
      </c>
      <c r="E41" s="105" t="str">
        <f t="shared" si="6"/>
        <v>4400228130004</v>
      </c>
      <c r="F41" s="105" t="b">
        <f t="shared" si="1"/>
        <v>0</v>
      </c>
      <c r="G41" s="139">
        <f t="shared" si="2"/>
        <v>44926</v>
      </c>
      <c r="H41" s="105">
        <v>40</v>
      </c>
      <c r="I41" s="105">
        <f t="shared" si="3"/>
        <v>2022</v>
      </c>
      <c r="J41" s="55" t="str">
        <f t="shared" ca="1" si="7"/>
        <v/>
      </c>
      <c r="K41" s="55">
        <f t="shared" ca="1" si="8"/>
        <v>8365</v>
      </c>
      <c r="L41" s="55" t="str">
        <f t="shared" ca="1" si="4"/>
        <v/>
      </c>
      <c r="M41" s="55">
        <f t="shared" ca="1" si="9"/>
        <v>8365</v>
      </c>
      <c r="N41" s="55">
        <f t="shared" ca="1" si="5"/>
        <v>8365</v>
      </c>
    </row>
    <row r="42" spans="1:14" x14ac:dyDescent="0.3">
      <c r="A42" s="105">
        <v>41</v>
      </c>
      <c r="B42" s="105" t="str">
        <f>VLOOKUP( $A42, Aop!$A$2:$P$453, 2, 0)</f>
        <v>BSa</v>
      </c>
      <c r="C42" s="105">
        <v>25</v>
      </c>
      <c r="D42" s="105" t="str">
        <f t="shared" si="0"/>
        <v>01755633</v>
      </c>
      <c r="E42" s="105" t="str">
        <f t="shared" si="6"/>
        <v>4400228130004</v>
      </c>
      <c r="F42" s="105" t="b">
        <f t="shared" si="1"/>
        <v>0</v>
      </c>
      <c r="G42" s="139">
        <f t="shared" si="2"/>
        <v>44926</v>
      </c>
      <c r="H42" s="105">
        <v>41</v>
      </c>
      <c r="I42" s="105">
        <f t="shared" si="3"/>
        <v>2022</v>
      </c>
      <c r="J42" s="55" t="str">
        <f t="shared" ca="1" si="7"/>
        <v/>
      </c>
      <c r="K42" s="55">
        <f t="shared" ca="1" si="8"/>
        <v>77770</v>
      </c>
      <c r="L42" s="55" t="str">
        <f t="shared" ca="1" si="4"/>
        <v/>
      </c>
      <c r="M42" s="55">
        <f t="shared" ca="1" si="9"/>
        <v>77770</v>
      </c>
      <c r="N42" s="55">
        <f t="shared" ca="1" si="5"/>
        <v>77770</v>
      </c>
    </row>
    <row r="43" spans="1:14" x14ac:dyDescent="0.3">
      <c r="A43" s="105">
        <v>42</v>
      </c>
      <c r="B43" s="105" t="str">
        <f>VLOOKUP( $A43, Aop!$A$2:$P$453, 2, 0)</f>
        <v>BSa</v>
      </c>
      <c r="C43" s="105">
        <v>25</v>
      </c>
      <c r="D43" s="105" t="str">
        <f t="shared" si="0"/>
        <v>01755633</v>
      </c>
      <c r="E43" s="105" t="str">
        <f t="shared" si="6"/>
        <v>4400228130004</v>
      </c>
      <c r="F43" s="105" t="b">
        <f t="shared" si="1"/>
        <v>0</v>
      </c>
      <c r="G43" s="139">
        <f t="shared" si="2"/>
        <v>44926</v>
      </c>
      <c r="H43" s="105">
        <v>42</v>
      </c>
      <c r="I43" s="105">
        <f t="shared" si="3"/>
        <v>2022</v>
      </c>
      <c r="J43" s="55" t="str">
        <f t="shared" ca="1" si="7"/>
        <v/>
      </c>
      <c r="K43" s="55" t="str">
        <f t="shared" ca="1" si="8"/>
        <v/>
      </c>
      <c r="L43" s="55" t="str">
        <f t="shared" ca="1" si="4"/>
        <v/>
      </c>
      <c r="M43" s="55">
        <f t="shared" ca="1" si="9"/>
        <v>0</v>
      </c>
      <c r="N43" s="55">
        <f t="shared" ca="1" si="5"/>
        <v>0</v>
      </c>
    </row>
    <row r="44" spans="1:14" x14ac:dyDescent="0.3">
      <c r="A44" s="105">
        <v>43</v>
      </c>
      <c r="B44" s="105" t="str">
        <f>VLOOKUP( $A44, Aop!$A$2:$P$453, 2, 0)</f>
        <v>BSa</v>
      </c>
      <c r="C44" s="105">
        <v>25</v>
      </c>
      <c r="D44" s="105" t="str">
        <f t="shared" si="0"/>
        <v>01755633</v>
      </c>
      <c r="E44" s="105" t="str">
        <f t="shared" si="6"/>
        <v>4400228130004</v>
      </c>
      <c r="F44" s="105" t="b">
        <f t="shared" si="1"/>
        <v>0</v>
      </c>
      <c r="G44" s="139">
        <f t="shared" si="2"/>
        <v>44926</v>
      </c>
      <c r="H44" s="105">
        <v>43</v>
      </c>
      <c r="I44" s="105">
        <f t="shared" si="3"/>
        <v>2022</v>
      </c>
      <c r="J44" s="55" t="str">
        <f t="shared" ca="1" si="7"/>
        <v/>
      </c>
      <c r="K44" s="55">
        <f t="shared" ca="1" si="8"/>
        <v>4142</v>
      </c>
      <c r="L44" s="55" t="str">
        <f t="shared" ca="1" si="4"/>
        <v/>
      </c>
      <c r="M44" s="55">
        <f t="shared" ca="1" si="9"/>
        <v>4142</v>
      </c>
      <c r="N44" s="55">
        <f t="shared" ca="1" si="5"/>
        <v>4142</v>
      </c>
    </row>
    <row r="45" spans="1:14" x14ac:dyDescent="0.3">
      <c r="A45" s="105">
        <v>44</v>
      </c>
      <c r="B45" s="105" t="str">
        <f>VLOOKUP( $A45, Aop!$A$2:$P$453, 2, 0)</f>
        <v>BSa</v>
      </c>
      <c r="C45" s="105">
        <v>25</v>
      </c>
      <c r="D45" s="105" t="str">
        <f t="shared" si="0"/>
        <v>01755633</v>
      </c>
      <c r="E45" s="105" t="str">
        <f t="shared" si="6"/>
        <v>4400228130004</v>
      </c>
      <c r="F45" s="105" t="b">
        <f t="shared" si="1"/>
        <v>0</v>
      </c>
      <c r="G45" s="139">
        <f t="shared" si="2"/>
        <v>44926</v>
      </c>
      <c r="H45" s="105">
        <v>44</v>
      </c>
      <c r="I45" s="105">
        <f t="shared" si="3"/>
        <v>2022</v>
      </c>
      <c r="J45" s="55" t="str">
        <f t="shared" ca="1" si="7"/>
        <v/>
      </c>
      <c r="K45" s="55">
        <f t="shared" ca="1" si="8"/>
        <v>2358855</v>
      </c>
      <c r="L45" s="55">
        <f t="shared" ca="1" si="4"/>
        <v>306740</v>
      </c>
      <c r="M45" s="55">
        <f t="shared" ca="1" si="9"/>
        <v>2052115</v>
      </c>
      <c r="N45" s="55">
        <f t="shared" ca="1" si="5"/>
        <v>2052115</v>
      </c>
    </row>
    <row r="46" spans="1:14" x14ac:dyDescent="0.3">
      <c r="A46" s="105">
        <v>45</v>
      </c>
      <c r="B46" s="105" t="str">
        <f>VLOOKUP( $A46, Aop!$A$2:$P$453, 2, 0)</f>
        <v>BSa</v>
      </c>
      <c r="C46" s="105">
        <v>25</v>
      </c>
      <c r="D46" s="105" t="str">
        <f t="shared" si="0"/>
        <v>01755633</v>
      </c>
      <c r="E46" s="105" t="str">
        <f t="shared" si="6"/>
        <v>4400228130004</v>
      </c>
      <c r="F46" s="105" t="b">
        <f t="shared" si="1"/>
        <v>0</v>
      </c>
      <c r="G46" s="139">
        <f t="shared" si="2"/>
        <v>44926</v>
      </c>
      <c r="H46" s="105">
        <v>45</v>
      </c>
      <c r="I46" s="105">
        <f t="shared" si="3"/>
        <v>2022</v>
      </c>
      <c r="J46" s="55">
        <f t="shared" ca="1" si="7"/>
        <v>4</v>
      </c>
      <c r="K46" s="55">
        <f t="shared" ca="1" si="8"/>
        <v>1815389</v>
      </c>
      <c r="L46" s="55">
        <f t="shared" ca="1" si="4"/>
        <v>306740</v>
      </c>
      <c r="M46" s="55">
        <f t="shared" ca="1" si="9"/>
        <v>1508649</v>
      </c>
      <c r="N46" s="55">
        <f t="shared" ca="1" si="5"/>
        <v>1508649</v>
      </c>
    </row>
    <row r="47" spans="1:14" x14ac:dyDescent="0.3">
      <c r="A47" s="105">
        <v>46</v>
      </c>
      <c r="B47" s="105" t="str">
        <f>VLOOKUP( $A47, Aop!$A$2:$P$453, 2, 0)</f>
        <v>BSa</v>
      </c>
      <c r="C47" s="105">
        <v>25</v>
      </c>
      <c r="D47" s="105" t="str">
        <f t="shared" si="0"/>
        <v>01755633</v>
      </c>
      <c r="E47" s="105" t="str">
        <f t="shared" si="6"/>
        <v>4400228130004</v>
      </c>
      <c r="F47" s="105" t="b">
        <f t="shared" si="1"/>
        <v>0</v>
      </c>
      <c r="G47" s="139">
        <f t="shared" si="2"/>
        <v>44926</v>
      </c>
      <c r="H47" s="105">
        <v>46</v>
      </c>
      <c r="I47" s="105">
        <f t="shared" si="3"/>
        <v>2022</v>
      </c>
      <c r="J47" s="55" t="str">
        <f t="shared" ca="1" si="7"/>
        <v/>
      </c>
      <c r="K47" s="55">
        <f t="shared" ca="1" si="8"/>
        <v>169663</v>
      </c>
      <c r="L47" s="55" t="str">
        <f t="shared" ca="1" si="4"/>
        <v/>
      </c>
      <c r="M47" s="55">
        <f t="shared" ca="1" si="9"/>
        <v>169663</v>
      </c>
      <c r="N47" s="55">
        <f t="shared" ca="1" si="5"/>
        <v>169663</v>
      </c>
    </row>
    <row r="48" spans="1:14" x14ac:dyDescent="0.3">
      <c r="A48" s="105">
        <v>47</v>
      </c>
      <c r="B48" s="105" t="str">
        <f>VLOOKUP( $A48, Aop!$A$2:$P$453, 2, 0)</f>
        <v>BSa</v>
      </c>
      <c r="C48" s="105">
        <v>25</v>
      </c>
      <c r="D48" s="105" t="str">
        <f t="shared" si="0"/>
        <v>01755633</v>
      </c>
      <c r="E48" s="105" t="str">
        <f t="shared" si="6"/>
        <v>4400228130004</v>
      </c>
      <c r="F48" s="105" t="b">
        <f t="shared" si="1"/>
        <v>0</v>
      </c>
      <c r="G48" s="139">
        <f t="shared" si="2"/>
        <v>44926</v>
      </c>
      <c r="H48" s="105">
        <v>47</v>
      </c>
      <c r="I48" s="105">
        <f t="shared" si="3"/>
        <v>2022</v>
      </c>
      <c r="J48" s="55" t="str">
        <f t="shared" ca="1" si="7"/>
        <v/>
      </c>
      <c r="K48" s="55">
        <f t="shared" ca="1" si="8"/>
        <v>1620543</v>
      </c>
      <c r="L48" s="55">
        <f t="shared" ca="1" si="4"/>
        <v>306740</v>
      </c>
      <c r="M48" s="55">
        <f t="shared" ca="1" si="9"/>
        <v>1313803</v>
      </c>
      <c r="N48" s="55">
        <f t="shared" ca="1" si="5"/>
        <v>1313803</v>
      </c>
    </row>
    <row r="49" spans="1:14" x14ac:dyDescent="0.3">
      <c r="A49" s="105">
        <v>48</v>
      </c>
      <c r="B49" s="105" t="str">
        <f>VLOOKUP( $A49, Aop!$A$2:$P$453, 2, 0)</f>
        <v>BSa</v>
      </c>
      <c r="C49" s="105">
        <v>25</v>
      </c>
      <c r="D49" s="105" t="str">
        <f t="shared" si="0"/>
        <v>01755633</v>
      </c>
      <c r="E49" s="105" t="str">
        <f t="shared" si="6"/>
        <v>4400228130004</v>
      </c>
      <c r="F49" s="105" t="b">
        <f t="shared" si="1"/>
        <v>0</v>
      </c>
      <c r="G49" s="139">
        <f t="shared" si="2"/>
        <v>44926</v>
      </c>
      <c r="H49" s="105">
        <v>48</v>
      </c>
      <c r="I49" s="105">
        <f t="shared" si="3"/>
        <v>2022</v>
      </c>
      <c r="J49" s="55" t="str">
        <f t="shared" ca="1" si="7"/>
        <v/>
      </c>
      <c r="K49" s="55">
        <f t="shared" ca="1" si="8"/>
        <v>1614</v>
      </c>
      <c r="L49" s="55" t="str">
        <f t="shared" ca="1" si="4"/>
        <v/>
      </c>
      <c r="M49" s="55">
        <f t="shared" ca="1" si="9"/>
        <v>1614</v>
      </c>
      <c r="N49" s="55">
        <f t="shared" ca="1" si="5"/>
        <v>1614</v>
      </c>
    </row>
    <row r="50" spans="1:14" x14ac:dyDescent="0.3">
      <c r="A50" s="105">
        <v>49</v>
      </c>
      <c r="B50" s="105" t="str">
        <f>VLOOKUP( $A50, Aop!$A$2:$P$453, 2, 0)</f>
        <v>BSa</v>
      </c>
      <c r="C50" s="105">
        <v>25</v>
      </c>
      <c r="D50" s="105" t="str">
        <f t="shared" si="0"/>
        <v>01755633</v>
      </c>
      <c r="E50" s="105" t="str">
        <f t="shared" si="6"/>
        <v>4400228130004</v>
      </c>
      <c r="F50" s="105" t="b">
        <f t="shared" si="1"/>
        <v>0</v>
      </c>
      <c r="G50" s="139">
        <f t="shared" si="2"/>
        <v>44926</v>
      </c>
      <c r="H50" s="105">
        <v>49</v>
      </c>
      <c r="I50" s="105">
        <f t="shared" si="3"/>
        <v>2022</v>
      </c>
      <c r="J50" s="55" t="str">
        <f t="shared" ca="1" si="7"/>
        <v/>
      </c>
      <c r="K50" s="55" t="str">
        <f t="shared" ca="1" si="8"/>
        <v/>
      </c>
      <c r="L50" s="55" t="str">
        <f t="shared" ca="1" si="4"/>
        <v/>
      </c>
      <c r="M50" s="55">
        <f t="shared" ca="1" si="9"/>
        <v>0</v>
      </c>
      <c r="N50" s="55">
        <f t="shared" ca="1" si="5"/>
        <v>0</v>
      </c>
    </row>
    <row r="51" spans="1:14" x14ac:dyDescent="0.3">
      <c r="A51" s="105">
        <v>50</v>
      </c>
      <c r="B51" s="105" t="str">
        <f>VLOOKUP( $A51, Aop!$A$2:$P$453, 2, 0)</f>
        <v>BSa</v>
      </c>
      <c r="C51" s="105">
        <v>25</v>
      </c>
      <c r="D51" s="105" t="str">
        <f t="shared" si="0"/>
        <v>01755633</v>
      </c>
      <c r="E51" s="105" t="str">
        <f t="shared" si="6"/>
        <v>4400228130004</v>
      </c>
      <c r="F51" s="105" t="b">
        <f t="shared" si="1"/>
        <v>0</v>
      </c>
      <c r="G51" s="139">
        <f t="shared" si="2"/>
        <v>44926</v>
      </c>
      <c r="H51" s="105">
        <v>50</v>
      </c>
      <c r="I51" s="105">
        <f t="shared" si="3"/>
        <v>2022</v>
      </c>
      <c r="J51" s="55" t="str">
        <f t="shared" ca="1" si="7"/>
        <v/>
      </c>
      <c r="K51" s="55">
        <f t="shared" ca="1" si="8"/>
        <v>1569</v>
      </c>
      <c r="L51" s="55" t="str">
        <f t="shared" ca="1" si="4"/>
        <v/>
      </c>
      <c r="M51" s="55">
        <f t="shared" ca="1" si="9"/>
        <v>1569</v>
      </c>
      <c r="N51" s="55">
        <f t="shared" ca="1" si="5"/>
        <v>1569</v>
      </c>
    </row>
    <row r="52" spans="1:14" x14ac:dyDescent="0.3">
      <c r="A52" s="105">
        <v>51</v>
      </c>
      <c r="B52" s="105" t="str">
        <f>VLOOKUP( $A52, Aop!$A$2:$P$453, 2, 0)</f>
        <v>BSa</v>
      </c>
      <c r="C52" s="105">
        <v>25</v>
      </c>
      <c r="D52" s="105" t="str">
        <f t="shared" si="0"/>
        <v>01755633</v>
      </c>
      <c r="E52" s="105" t="str">
        <f t="shared" si="6"/>
        <v>4400228130004</v>
      </c>
      <c r="F52" s="105" t="b">
        <f t="shared" si="1"/>
        <v>0</v>
      </c>
      <c r="G52" s="139">
        <f t="shared" si="2"/>
        <v>44926</v>
      </c>
      <c r="H52" s="105">
        <v>51</v>
      </c>
      <c r="I52" s="105">
        <f t="shared" si="3"/>
        <v>2022</v>
      </c>
      <c r="J52" s="55" t="str">
        <f t="shared" ca="1" si="7"/>
        <v/>
      </c>
      <c r="K52" s="55">
        <f t="shared" ca="1" si="8"/>
        <v>22000</v>
      </c>
      <c r="L52" s="55" t="str">
        <f t="shared" ca="1" si="4"/>
        <v/>
      </c>
      <c r="M52" s="55">
        <f t="shared" ca="1" si="9"/>
        <v>22000</v>
      </c>
      <c r="N52" s="55">
        <f t="shared" ca="1" si="5"/>
        <v>22000</v>
      </c>
    </row>
    <row r="53" spans="1:14" x14ac:dyDescent="0.3">
      <c r="A53" s="105">
        <v>52</v>
      </c>
      <c r="B53" s="105" t="str">
        <f>VLOOKUP( $A53, Aop!$A$2:$P$453, 2, 0)</f>
        <v>BSa</v>
      </c>
      <c r="C53" s="105">
        <v>25</v>
      </c>
      <c r="D53" s="105" t="str">
        <f t="shared" si="0"/>
        <v>01755633</v>
      </c>
      <c r="E53" s="105" t="str">
        <f t="shared" si="6"/>
        <v>4400228130004</v>
      </c>
      <c r="F53" s="105" t="b">
        <f t="shared" si="1"/>
        <v>0</v>
      </c>
      <c r="G53" s="139">
        <f t="shared" si="2"/>
        <v>44926</v>
      </c>
      <c r="H53" s="105">
        <v>52</v>
      </c>
      <c r="I53" s="105">
        <f t="shared" si="3"/>
        <v>2022</v>
      </c>
      <c r="J53" s="55" t="str">
        <f t="shared" ca="1" si="7"/>
        <v/>
      </c>
      <c r="K53" s="55">
        <f t="shared" ca="1" si="8"/>
        <v>0</v>
      </c>
      <c r="L53" s="55">
        <f t="shared" ca="1" si="4"/>
        <v>0</v>
      </c>
      <c r="M53" s="55">
        <f t="shared" ca="1" si="9"/>
        <v>0</v>
      </c>
      <c r="N53" s="55">
        <f t="shared" ca="1" si="5"/>
        <v>0</v>
      </c>
    </row>
    <row r="54" spans="1:14" x14ac:dyDescent="0.3">
      <c r="A54" s="105">
        <v>53</v>
      </c>
      <c r="B54" s="105" t="str">
        <f>VLOOKUP( $A54, Aop!$A$2:$P$453, 2, 0)</f>
        <v>BSa</v>
      </c>
      <c r="C54" s="105">
        <v>25</v>
      </c>
      <c r="D54" s="105" t="str">
        <f t="shared" si="0"/>
        <v>01755633</v>
      </c>
      <c r="E54" s="105" t="str">
        <f t="shared" si="6"/>
        <v>4400228130004</v>
      </c>
      <c r="F54" s="105" t="b">
        <f t="shared" si="1"/>
        <v>0</v>
      </c>
      <c r="G54" s="139">
        <f t="shared" si="2"/>
        <v>44926</v>
      </c>
      <c r="H54" s="105">
        <v>53</v>
      </c>
      <c r="I54" s="105">
        <f t="shared" si="3"/>
        <v>2022</v>
      </c>
      <c r="J54" s="55" t="str">
        <f t="shared" ca="1" si="7"/>
        <v/>
      </c>
      <c r="K54" s="55">
        <f t="shared" ca="1" si="8"/>
        <v>0</v>
      </c>
      <c r="L54" s="55">
        <f t="shared" ca="1" si="4"/>
        <v>0</v>
      </c>
      <c r="M54" s="55">
        <f t="shared" ca="1" si="9"/>
        <v>0</v>
      </c>
      <c r="N54" s="55">
        <f t="shared" ca="1" si="5"/>
        <v>0</v>
      </c>
    </row>
    <row r="55" spans="1:14" x14ac:dyDescent="0.3">
      <c r="A55" s="105">
        <v>54</v>
      </c>
      <c r="B55" s="105" t="str">
        <f>VLOOKUP( $A55, Aop!$A$2:$P$453, 2, 0)</f>
        <v>BSa</v>
      </c>
      <c r="C55" s="105">
        <v>25</v>
      </c>
      <c r="D55" s="105" t="str">
        <f t="shared" si="0"/>
        <v>01755633</v>
      </c>
      <c r="E55" s="105" t="str">
        <f t="shared" si="6"/>
        <v>4400228130004</v>
      </c>
      <c r="F55" s="105" t="b">
        <f t="shared" si="1"/>
        <v>0</v>
      </c>
      <c r="G55" s="139">
        <f t="shared" si="2"/>
        <v>44926</v>
      </c>
      <c r="H55" s="105">
        <v>54</v>
      </c>
      <c r="I55" s="105">
        <f t="shared" si="3"/>
        <v>2022</v>
      </c>
      <c r="J55" s="55" t="str">
        <f t="shared" ca="1" si="7"/>
        <v/>
      </c>
      <c r="K55" s="55" t="str">
        <f t="shared" ca="1" si="8"/>
        <v/>
      </c>
      <c r="L55" s="55" t="str">
        <f t="shared" ca="1" si="4"/>
        <v/>
      </c>
      <c r="M55" s="55">
        <f t="shared" ca="1" si="9"/>
        <v>0</v>
      </c>
      <c r="N55" s="55">
        <f t="shared" ca="1" si="5"/>
        <v>0</v>
      </c>
    </row>
    <row r="56" spans="1:14" x14ac:dyDescent="0.3">
      <c r="A56" s="105">
        <v>55</v>
      </c>
      <c r="B56" s="105" t="str">
        <f>VLOOKUP( $A56, Aop!$A$2:$P$453, 2, 0)</f>
        <v>BSa</v>
      </c>
      <c r="C56" s="105">
        <v>25</v>
      </c>
      <c r="D56" s="105" t="str">
        <f t="shared" si="0"/>
        <v>01755633</v>
      </c>
      <c r="E56" s="105" t="str">
        <f t="shared" si="6"/>
        <v>4400228130004</v>
      </c>
      <c r="F56" s="105" t="b">
        <f t="shared" si="1"/>
        <v>0</v>
      </c>
      <c r="G56" s="139">
        <f t="shared" si="2"/>
        <v>44926</v>
      </c>
      <c r="H56" s="105">
        <v>55</v>
      </c>
      <c r="I56" s="105">
        <f t="shared" si="3"/>
        <v>2022</v>
      </c>
      <c r="J56" s="55" t="str">
        <f t="shared" ca="1" si="7"/>
        <v/>
      </c>
      <c r="K56" s="55" t="str">
        <f t="shared" ca="1" si="8"/>
        <v/>
      </c>
      <c r="L56" s="55" t="str">
        <f t="shared" ca="1" si="4"/>
        <v/>
      </c>
      <c r="M56" s="55">
        <f t="shared" ca="1" si="9"/>
        <v>0</v>
      </c>
      <c r="N56" s="55">
        <f t="shared" ca="1" si="5"/>
        <v>0</v>
      </c>
    </row>
    <row r="57" spans="1:14" x14ac:dyDescent="0.3">
      <c r="A57" s="105">
        <v>56</v>
      </c>
      <c r="B57" s="105" t="str">
        <f>VLOOKUP( $A57, Aop!$A$2:$P$453, 2, 0)</f>
        <v>BSa</v>
      </c>
      <c r="C57" s="105">
        <v>25</v>
      </c>
      <c r="D57" s="105" t="str">
        <f t="shared" si="0"/>
        <v>01755633</v>
      </c>
      <c r="E57" s="105" t="str">
        <f t="shared" si="6"/>
        <v>4400228130004</v>
      </c>
      <c r="F57" s="105" t="b">
        <f t="shared" si="1"/>
        <v>0</v>
      </c>
      <c r="G57" s="139">
        <f t="shared" si="2"/>
        <v>44926</v>
      </c>
      <c r="H57" s="105">
        <v>56</v>
      </c>
      <c r="I57" s="105">
        <f t="shared" si="3"/>
        <v>2022</v>
      </c>
      <c r="J57" s="55" t="str">
        <f t="shared" ca="1" si="7"/>
        <v/>
      </c>
      <c r="K57" s="55" t="str">
        <f t="shared" ca="1" si="8"/>
        <v/>
      </c>
      <c r="L57" s="55" t="str">
        <f t="shared" ca="1" si="4"/>
        <v/>
      </c>
      <c r="M57" s="55">
        <f t="shared" ca="1" si="9"/>
        <v>0</v>
      </c>
      <c r="N57" s="55">
        <f t="shared" ca="1" si="5"/>
        <v>0</v>
      </c>
    </row>
    <row r="58" spans="1:14" x14ac:dyDescent="0.3">
      <c r="A58" s="105">
        <v>57</v>
      </c>
      <c r="B58" s="105" t="str">
        <f>VLOOKUP( $A58, Aop!$A$2:$P$453, 2, 0)</f>
        <v>BSa</v>
      </c>
      <c r="C58" s="105">
        <v>25</v>
      </c>
      <c r="D58" s="105" t="str">
        <f t="shared" si="0"/>
        <v>01755633</v>
      </c>
      <c r="E58" s="105" t="str">
        <f t="shared" si="6"/>
        <v>4400228130004</v>
      </c>
      <c r="F58" s="105" t="b">
        <f t="shared" si="1"/>
        <v>0</v>
      </c>
      <c r="G58" s="139">
        <f t="shared" si="2"/>
        <v>44926</v>
      </c>
      <c r="H58" s="105">
        <v>57</v>
      </c>
      <c r="I58" s="105">
        <f t="shared" si="3"/>
        <v>2022</v>
      </c>
      <c r="J58" s="55" t="str">
        <f t="shared" ca="1" si="7"/>
        <v/>
      </c>
      <c r="K58" s="55" t="str">
        <f t="shared" ca="1" si="8"/>
        <v/>
      </c>
      <c r="L58" s="55" t="str">
        <f t="shared" ca="1" si="4"/>
        <v/>
      </c>
      <c r="M58" s="55">
        <f t="shared" ca="1" si="9"/>
        <v>0</v>
      </c>
      <c r="N58" s="55">
        <f t="shared" ca="1" si="5"/>
        <v>0</v>
      </c>
    </row>
    <row r="59" spans="1:14" x14ac:dyDescent="0.3">
      <c r="A59" s="105">
        <v>58</v>
      </c>
      <c r="B59" s="105" t="str">
        <f>VLOOKUP( $A59, Aop!$A$2:$P$453, 2, 0)</f>
        <v>BSa</v>
      </c>
      <c r="C59" s="105">
        <v>25</v>
      </c>
      <c r="D59" s="105" t="str">
        <f t="shared" si="0"/>
        <v>01755633</v>
      </c>
      <c r="E59" s="105" t="str">
        <f t="shared" si="6"/>
        <v>4400228130004</v>
      </c>
      <c r="F59" s="105" t="b">
        <f t="shared" si="1"/>
        <v>0</v>
      </c>
      <c r="G59" s="139">
        <f t="shared" si="2"/>
        <v>44926</v>
      </c>
      <c r="H59" s="105">
        <v>58</v>
      </c>
      <c r="I59" s="105">
        <f t="shared" si="3"/>
        <v>2022</v>
      </c>
      <c r="J59" s="55" t="str">
        <f t="shared" ca="1" si="7"/>
        <v/>
      </c>
      <c r="K59" s="55" t="str">
        <f t="shared" ca="1" si="8"/>
        <v/>
      </c>
      <c r="L59" s="55" t="str">
        <f t="shared" ca="1" si="4"/>
        <v/>
      </c>
      <c r="M59" s="55">
        <f t="shared" ca="1" si="9"/>
        <v>0</v>
      </c>
      <c r="N59" s="55">
        <f t="shared" ca="1" si="5"/>
        <v>0</v>
      </c>
    </row>
    <row r="60" spans="1:14" x14ac:dyDescent="0.3">
      <c r="A60" s="105">
        <v>59</v>
      </c>
      <c r="B60" s="105" t="str">
        <f>VLOOKUP( $A60, Aop!$A$2:$P$453, 2, 0)</f>
        <v>BSa</v>
      </c>
      <c r="C60" s="105">
        <v>25</v>
      </c>
      <c r="D60" s="105" t="str">
        <f t="shared" si="0"/>
        <v>01755633</v>
      </c>
      <c r="E60" s="105" t="str">
        <f t="shared" si="6"/>
        <v>4400228130004</v>
      </c>
      <c r="F60" s="105" t="b">
        <f t="shared" si="1"/>
        <v>0</v>
      </c>
      <c r="G60" s="139">
        <f t="shared" si="2"/>
        <v>44926</v>
      </c>
      <c r="H60" s="105">
        <v>59</v>
      </c>
      <c r="I60" s="105">
        <f t="shared" si="3"/>
        <v>2022</v>
      </c>
      <c r="J60" s="55" t="str">
        <f t="shared" ca="1" si="7"/>
        <v/>
      </c>
      <c r="K60" s="55" t="str">
        <f t="shared" ca="1" si="8"/>
        <v/>
      </c>
      <c r="L60" s="55" t="str">
        <f t="shared" ca="1" si="4"/>
        <v/>
      </c>
      <c r="M60" s="55">
        <f t="shared" ca="1" si="9"/>
        <v>0</v>
      </c>
      <c r="N60" s="55">
        <f t="shared" ca="1" si="5"/>
        <v>0</v>
      </c>
    </row>
    <row r="61" spans="1:14" x14ac:dyDescent="0.3">
      <c r="A61" s="105">
        <v>60</v>
      </c>
      <c r="B61" s="105" t="str">
        <f>VLOOKUP( $A61, Aop!$A$2:$P$453, 2, 0)</f>
        <v>BSa</v>
      </c>
      <c r="C61" s="105">
        <v>25</v>
      </c>
      <c r="D61" s="105" t="str">
        <f t="shared" si="0"/>
        <v>01755633</v>
      </c>
      <c r="E61" s="105" t="str">
        <f t="shared" si="6"/>
        <v>4400228130004</v>
      </c>
      <c r="F61" s="105" t="b">
        <f t="shared" si="1"/>
        <v>0</v>
      </c>
      <c r="G61" s="139">
        <f t="shared" si="2"/>
        <v>44926</v>
      </c>
      <c r="H61" s="105">
        <v>60</v>
      </c>
      <c r="I61" s="105">
        <f t="shared" si="3"/>
        <v>2022</v>
      </c>
      <c r="J61" s="55" t="str">
        <f t="shared" ca="1" si="7"/>
        <v/>
      </c>
      <c r="K61" s="55" t="str">
        <f t="shared" ca="1" si="8"/>
        <v/>
      </c>
      <c r="L61" s="55" t="str">
        <f t="shared" ca="1" si="4"/>
        <v/>
      </c>
      <c r="M61" s="55">
        <f t="shared" ca="1" si="9"/>
        <v>0</v>
      </c>
      <c r="N61" s="55">
        <f t="shared" ca="1" si="5"/>
        <v>0</v>
      </c>
    </row>
    <row r="62" spans="1:14" x14ac:dyDescent="0.3">
      <c r="A62" s="105">
        <v>61</v>
      </c>
      <c r="B62" s="105" t="str">
        <f>VLOOKUP( $A62, Aop!$A$2:$P$453, 2, 0)</f>
        <v>BSa</v>
      </c>
      <c r="C62" s="105">
        <v>25</v>
      </c>
      <c r="D62" s="105" t="str">
        <f t="shared" si="0"/>
        <v>01755633</v>
      </c>
      <c r="E62" s="105" t="str">
        <f t="shared" si="6"/>
        <v>4400228130004</v>
      </c>
      <c r="F62" s="105" t="b">
        <f t="shared" si="1"/>
        <v>0</v>
      </c>
      <c r="G62" s="139">
        <f t="shared" si="2"/>
        <v>44926</v>
      </c>
      <c r="H62" s="105">
        <v>61</v>
      </c>
      <c r="I62" s="105">
        <f t="shared" si="3"/>
        <v>2022</v>
      </c>
      <c r="J62" s="55">
        <f t="shared" ca="1" si="7"/>
        <v>5</v>
      </c>
      <c r="K62" s="55">
        <f t="shared" ca="1" si="8"/>
        <v>524736</v>
      </c>
      <c r="L62" s="55">
        <f t="shared" ca="1" si="4"/>
        <v>0</v>
      </c>
      <c r="M62" s="55">
        <f t="shared" ca="1" si="9"/>
        <v>524736</v>
      </c>
      <c r="N62" s="55">
        <f t="shared" ca="1" si="5"/>
        <v>524736</v>
      </c>
    </row>
    <row r="63" spans="1:14" x14ac:dyDescent="0.3">
      <c r="A63" s="105">
        <v>62</v>
      </c>
      <c r="B63" s="105" t="str">
        <f>VLOOKUP( $A63, Aop!$A$2:$P$453, 2, 0)</f>
        <v>BSa</v>
      </c>
      <c r="C63" s="105">
        <v>25</v>
      </c>
      <c r="D63" s="105" t="str">
        <f t="shared" si="0"/>
        <v>01755633</v>
      </c>
      <c r="E63" s="105" t="str">
        <f t="shared" si="6"/>
        <v>4400228130004</v>
      </c>
      <c r="F63" s="105" t="b">
        <f t="shared" si="1"/>
        <v>0</v>
      </c>
      <c r="G63" s="139">
        <f t="shared" si="2"/>
        <v>44926</v>
      </c>
      <c r="H63" s="105">
        <v>62</v>
      </c>
      <c r="I63" s="105">
        <f t="shared" si="3"/>
        <v>2022</v>
      </c>
      <c r="J63" s="55" t="str">
        <f t="shared" ca="1" si="7"/>
        <v/>
      </c>
      <c r="K63" s="55" t="str">
        <f t="shared" ca="1" si="8"/>
        <v/>
      </c>
      <c r="L63" s="55" t="str">
        <f t="shared" ca="1" si="4"/>
        <v/>
      </c>
      <c r="M63" s="55">
        <f t="shared" ca="1" si="9"/>
        <v>0</v>
      </c>
      <c r="N63" s="55">
        <f t="shared" ca="1" si="5"/>
        <v>0</v>
      </c>
    </row>
    <row r="64" spans="1:14" x14ac:dyDescent="0.3">
      <c r="A64" s="105">
        <v>63</v>
      </c>
      <c r="B64" s="105" t="str">
        <f>VLOOKUP( $A64, Aop!$A$2:$P$453, 2, 0)</f>
        <v>BSa</v>
      </c>
      <c r="C64" s="105">
        <v>25</v>
      </c>
      <c r="D64" s="105" t="str">
        <f t="shared" si="0"/>
        <v>01755633</v>
      </c>
      <c r="E64" s="105" t="str">
        <f t="shared" si="6"/>
        <v>4400228130004</v>
      </c>
      <c r="F64" s="105" t="b">
        <f t="shared" si="1"/>
        <v>0</v>
      </c>
      <c r="G64" s="139">
        <f t="shared" si="2"/>
        <v>44926</v>
      </c>
      <c r="H64" s="105">
        <v>63</v>
      </c>
      <c r="I64" s="105">
        <f t="shared" si="3"/>
        <v>2022</v>
      </c>
      <c r="J64" s="55" t="str">
        <f t="shared" ca="1" si="7"/>
        <v/>
      </c>
      <c r="K64" s="55">
        <f t="shared" ca="1" si="8"/>
        <v>524736</v>
      </c>
      <c r="L64" s="55" t="str">
        <f t="shared" ca="1" si="4"/>
        <v/>
      </c>
      <c r="M64" s="55">
        <f t="shared" ca="1" si="9"/>
        <v>524736</v>
      </c>
      <c r="N64" s="55">
        <f t="shared" ca="1" si="5"/>
        <v>524736</v>
      </c>
    </row>
    <row r="65" spans="1:14" x14ac:dyDescent="0.3">
      <c r="A65" s="105">
        <v>64</v>
      </c>
      <c r="B65" s="105" t="str">
        <f>VLOOKUP( $A65, Aop!$A$2:$P$453, 2, 0)</f>
        <v>BSa</v>
      </c>
      <c r="C65" s="105">
        <v>25</v>
      </c>
      <c r="D65" s="105" t="str">
        <f t="shared" si="0"/>
        <v>01755633</v>
      </c>
      <c r="E65" s="105" t="str">
        <f t="shared" si="6"/>
        <v>4400228130004</v>
      </c>
      <c r="F65" s="105" t="b">
        <f t="shared" si="1"/>
        <v>0</v>
      </c>
      <c r="G65" s="139">
        <f t="shared" si="2"/>
        <v>44926</v>
      </c>
      <c r="H65" s="105">
        <v>64</v>
      </c>
      <c r="I65" s="105">
        <f t="shared" si="3"/>
        <v>2022</v>
      </c>
      <c r="J65" s="55">
        <f t="shared" ca="1" si="7"/>
        <v>6</v>
      </c>
      <c r="K65" s="55">
        <f t="shared" ca="1" si="8"/>
        <v>6179</v>
      </c>
      <c r="L65" s="55" t="str">
        <f t="shared" ca="1" si="4"/>
        <v/>
      </c>
      <c r="M65" s="55">
        <f t="shared" ca="1" si="9"/>
        <v>6179</v>
      </c>
      <c r="N65" s="55">
        <f t="shared" ca="1" si="5"/>
        <v>6179</v>
      </c>
    </row>
    <row r="66" spans="1:14" x14ac:dyDescent="0.3">
      <c r="A66" s="105">
        <v>65</v>
      </c>
      <c r="B66" s="55" t="str">
        <f>VLOOKUP( $A66, Aop!$A$2:$P$453, 2, 0)</f>
        <v>BSa</v>
      </c>
      <c r="C66" s="105">
        <v>25</v>
      </c>
      <c r="D66" s="55" t="str">
        <f>Podatak_MB</f>
        <v>01755633</v>
      </c>
      <c r="E66" s="55" t="str">
        <f>Podatak_JIB</f>
        <v>4400228130004</v>
      </c>
      <c r="F66" s="55" t="b">
        <f>Konsolidovan_izvjestaj</f>
        <v>0</v>
      </c>
      <c r="G66" s="139">
        <f>Datum_Broj</f>
        <v>44926</v>
      </c>
      <c r="H66" s="105">
        <v>65</v>
      </c>
      <c r="I66" s="55">
        <f>Godina</f>
        <v>2022</v>
      </c>
      <c r="J66" s="55">
        <f t="shared" ca="1" si="7"/>
        <v>7</v>
      </c>
      <c r="K66" s="55">
        <f t="shared" ca="1" si="8"/>
        <v>12551</v>
      </c>
      <c r="L66" s="55" t="str">
        <f t="shared" ref="L66:L131" ca="1" si="10">IF( VLOOKUP( $H66, INDIRECT( "Lookup_" &amp; $B66), IF( LEFT( $B66, 2) = "BS", R$2, R$1), 0) = "", "", VLOOKUP( $H66, INDIRECT( "Lookup_" &amp; $B66), IF( $B66 = "BSa", R$2, R$1), 0))</f>
        <v/>
      </c>
      <c r="M66" s="55">
        <f t="shared" ca="1" si="9"/>
        <v>12551</v>
      </c>
      <c r="N66" s="55">
        <f t="shared" ref="N66:N129" ca="1" si="11">IF( VLOOKUP( $H66, INDIRECT( "Lookup_" &amp; $B66), IF( LEFT( $B66, 2) = "BS", S$2, S$1), 0) = "", "", VLOOKUP( $H66, INDIRECT( "Lookup_" &amp; $B66), IF( LEFT( $B66, 2) = "BS", S$2, S$1), 0))</f>
        <v>12551</v>
      </c>
    </row>
    <row r="67" spans="1:14" x14ac:dyDescent="0.3">
      <c r="A67" s="105">
        <v>66</v>
      </c>
      <c r="B67" s="55" t="str">
        <f>VLOOKUP( $A67, Aop!$A$2:$P$453, 2, 0)</f>
        <v>BSa</v>
      </c>
      <c r="C67" s="105">
        <v>25</v>
      </c>
      <c r="D67" s="55" t="str">
        <f>Podatak_MB</f>
        <v>01755633</v>
      </c>
      <c r="E67" s="55" t="str">
        <f>Podatak_JIB</f>
        <v>4400228130004</v>
      </c>
      <c r="F67" s="55" t="b">
        <f>Konsolidovan_izvjestaj</f>
        <v>0</v>
      </c>
      <c r="G67" s="139">
        <f>Datum_Broj</f>
        <v>44926</v>
      </c>
      <c r="H67" s="105">
        <v>66</v>
      </c>
      <c r="I67" s="55">
        <f>Godina</f>
        <v>2022</v>
      </c>
      <c r="J67" s="55" t="str">
        <f t="shared" ca="1" si="7"/>
        <v/>
      </c>
      <c r="K67" s="55">
        <f t="shared" ca="1" si="8"/>
        <v>12070415</v>
      </c>
      <c r="L67" s="55">
        <f ca="1">IF( VLOOKUP( $H67, INDIRECT( "Lookup_" &amp; $B67), IF( LEFT( $B67, 2) = "BS", R$2, R$1), 0) = "", "", VLOOKUP( $H67, INDIRECT( "Lookup_" &amp; $B67), IF( $B67 = "BSa", R$2, R$1), 0))</f>
        <v>6648819</v>
      </c>
      <c r="M67" s="55">
        <f t="shared" ca="1" si="9"/>
        <v>5421596</v>
      </c>
      <c r="N67" s="55">
        <f t="shared" ca="1" si="11"/>
        <v>5421596</v>
      </c>
    </row>
    <row r="68" spans="1:14" x14ac:dyDescent="0.3">
      <c r="A68" s="105">
        <v>67</v>
      </c>
      <c r="B68" s="105" t="str">
        <f>VLOOKUP( $A68, Aop!$A$2:$P$453, 2, 0)</f>
        <v>BSa</v>
      </c>
      <c r="C68" s="105">
        <v>25</v>
      </c>
      <c r="D68" s="105" t="str">
        <f t="shared" ref="D68:D129" si="12">Podatak_MB</f>
        <v>01755633</v>
      </c>
      <c r="E68" s="105" t="str">
        <f t="shared" ref="E68:E129" si="13">Podatak_JIB</f>
        <v>4400228130004</v>
      </c>
      <c r="F68" s="105" t="b">
        <f t="shared" ref="F68:F131" si="14">Konsolidovan_izvjestaj</f>
        <v>0</v>
      </c>
      <c r="G68" s="139">
        <f t="shared" ref="G68:G131" si="15">Datum_Broj</f>
        <v>44926</v>
      </c>
      <c r="H68" s="105">
        <v>67</v>
      </c>
      <c r="I68" s="105">
        <f t="shared" ref="I68:I129" si="16">Godina</f>
        <v>2022</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3">
      <c r="A69" s="105">
        <v>68</v>
      </c>
      <c r="B69" s="105" t="str">
        <f>VLOOKUP( $A69, Aop!$A$2:$P$453, 2, 0)</f>
        <v>BSp</v>
      </c>
      <c r="C69" s="105">
        <v>26</v>
      </c>
      <c r="D69" s="105" t="str">
        <f>Podatak_MB</f>
        <v>01755633</v>
      </c>
      <c r="E69" s="105" t="str">
        <f>Podatak_JIB</f>
        <v>4400228130004</v>
      </c>
      <c r="F69" s="105" t="b">
        <f>Konsolidovan_izvjestaj</f>
        <v>0</v>
      </c>
      <c r="G69" s="139">
        <f>Datum_Broj</f>
        <v>44926</v>
      </c>
      <c r="H69" s="105">
        <f>VLOOKUP( $A69, Aop!$A$2:$P$453, 4, 0)</f>
        <v>101</v>
      </c>
      <c r="I69" s="105">
        <f>Godina</f>
        <v>2022</v>
      </c>
      <c r="J69" s="55">
        <f ca="1">IF( VLOOKUP( $H69, INDIRECT( "Lookup_" &amp; $B69), IF( LEFT( $B69, 2) = "BS", P$2, P$1), 0) = "", "", VLOOKUP( $H69, INDIRECT( "Lookup_" &amp; $B69), IF( $B69 = "BSp", P$2, P$1), 0))</f>
        <v>8</v>
      </c>
      <c r="K69" s="55"/>
      <c r="L69" s="55" t="str">
        <f ca="1">IF( VLOOKUP( $H69, INDIRECT( "Lookup_" &amp; $B69), IF( LEFT( $B69, 2) = "BS", R$2, R$1), 0) = "", "", VLOOKUP( $H69, INDIRECT( "Lookup_" &amp; $B69), IF( $B69 = "BSa", R$2, R$1), 0))</f>
        <v/>
      </c>
      <c r="M69" s="55">
        <f t="shared" ca="1" si="19"/>
        <v>4725426</v>
      </c>
      <c r="N69" s="55">
        <f t="shared" ca="1" si="11"/>
        <v>4725426</v>
      </c>
    </row>
    <row r="70" spans="1:14" x14ac:dyDescent="0.3">
      <c r="A70" s="105">
        <v>69</v>
      </c>
      <c r="B70" s="105" t="str">
        <f>VLOOKUP( $A70, Aop!$A$2:$P$453, 2, 0)</f>
        <v>BSp</v>
      </c>
      <c r="C70" s="105">
        <v>26</v>
      </c>
      <c r="D70" s="105" t="str">
        <f t="shared" si="12"/>
        <v>01755633</v>
      </c>
      <c r="E70" s="105" t="str">
        <f t="shared" si="13"/>
        <v>4400228130004</v>
      </c>
      <c r="F70" s="105" t="b">
        <f t="shared" si="14"/>
        <v>0</v>
      </c>
      <c r="G70" s="139">
        <f t="shared" si="15"/>
        <v>44926</v>
      </c>
      <c r="H70" s="105">
        <f>VLOOKUP( $A70, Aop!$A$2:$P$453, 4, 0)</f>
        <v>102</v>
      </c>
      <c r="I70" s="105">
        <f t="shared" si="16"/>
        <v>2022</v>
      </c>
      <c r="J70" s="55" t="str">
        <f ca="1">IF( VLOOKUP( $H70, INDIRECT( "Lookup_" &amp; $B70), IF( LEFT( $B70, 2) = "BS", P$2, P$1), 0) = "", "", VLOOKUP( $H70, INDIRECT( "Lookup_" &amp; $B70), IF( $B70 = "BSp", P$2, P$1), 0))</f>
        <v/>
      </c>
      <c r="K70" s="55"/>
      <c r="L70" s="55" t="str">
        <f t="shared" ca="1" si="10"/>
        <v/>
      </c>
      <c r="M70" s="55">
        <f t="shared" ca="1" si="19"/>
        <v>1177999</v>
      </c>
      <c r="N70" s="55">
        <f t="shared" ca="1" si="11"/>
        <v>1177999</v>
      </c>
    </row>
    <row r="71" spans="1:14" x14ac:dyDescent="0.3">
      <c r="A71" s="105">
        <v>70</v>
      </c>
      <c r="B71" s="105" t="str">
        <f>VLOOKUP( $A71, Aop!$A$2:$P$453, 2, 0)</f>
        <v>BSp</v>
      </c>
      <c r="C71" s="105">
        <v>26</v>
      </c>
      <c r="D71" s="105" t="str">
        <f t="shared" si="12"/>
        <v>01755633</v>
      </c>
      <c r="E71" s="105" t="str">
        <f t="shared" si="13"/>
        <v>4400228130004</v>
      </c>
      <c r="F71" s="105" t="b">
        <f t="shared" si="14"/>
        <v>0</v>
      </c>
      <c r="G71" s="139">
        <f t="shared" si="15"/>
        <v>44926</v>
      </c>
      <c r="H71" s="105">
        <f>VLOOKUP( $A71, Aop!$A$2:$P$453, 4, 0)</f>
        <v>103</v>
      </c>
      <c r="I71" s="105">
        <f t="shared" si="16"/>
        <v>2022</v>
      </c>
      <c r="J71" s="55" t="str">
        <f t="shared" ref="J71:J134" ca="1" si="20">IF( VLOOKUP( $H71, INDIRECT( "Lookup_" &amp; $B71), IF( LEFT( $B71, 2) = "BS", P$2, P$1), 0) = "", "", VLOOKUP( $H71, INDIRECT( "Lookup_" &amp; $B71), IF( $B71 = "BSp", P$2, P$1), 0))</f>
        <v/>
      </c>
      <c r="K71" s="55"/>
      <c r="L71" s="55" t="str">
        <f t="shared" ca="1" si="10"/>
        <v/>
      </c>
      <c r="M71" s="55">
        <f t="shared" ca="1" si="19"/>
        <v>1177999</v>
      </c>
      <c r="N71" s="55">
        <f t="shared" ca="1" si="11"/>
        <v>1177999</v>
      </c>
    </row>
    <row r="72" spans="1:14" x14ac:dyDescent="0.3">
      <c r="A72" s="105">
        <v>71</v>
      </c>
      <c r="B72" s="105" t="str">
        <f>VLOOKUP( $A72, Aop!$A$2:$P$453, 2, 0)</f>
        <v>BSp</v>
      </c>
      <c r="C72" s="105">
        <v>26</v>
      </c>
      <c r="D72" s="105" t="str">
        <f t="shared" si="12"/>
        <v>01755633</v>
      </c>
      <c r="E72" s="105" t="str">
        <f t="shared" si="13"/>
        <v>4400228130004</v>
      </c>
      <c r="F72" s="105" t="b">
        <f t="shared" si="14"/>
        <v>0</v>
      </c>
      <c r="G72" s="139">
        <f t="shared" si="15"/>
        <v>44926</v>
      </c>
      <c r="H72" s="105">
        <f>VLOOKUP( $A72, Aop!$A$2:$P$453, 4, 0)</f>
        <v>104</v>
      </c>
      <c r="I72" s="105">
        <f t="shared" si="16"/>
        <v>2022</v>
      </c>
      <c r="J72" s="55" t="str">
        <f t="shared" ca="1" si="20"/>
        <v/>
      </c>
      <c r="K72" s="55"/>
      <c r="L72" s="55" t="str">
        <f t="shared" ca="1" si="10"/>
        <v/>
      </c>
      <c r="M72" s="55">
        <f t="shared" ca="1" si="19"/>
        <v>1177999</v>
      </c>
      <c r="N72" s="55">
        <f t="shared" ca="1" si="11"/>
        <v>1177999</v>
      </c>
    </row>
    <row r="73" spans="1:14" x14ac:dyDescent="0.3">
      <c r="A73" s="105">
        <v>72</v>
      </c>
      <c r="B73" s="105" t="str">
        <f>VLOOKUP( $A73, Aop!$A$2:$P$453, 2, 0)</f>
        <v>BSp</v>
      </c>
      <c r="C73" s="105">
        <v>26</v>
      </c>
      <c r="D73" s="105" t="str">
        <f t="shared" si="12"/>
        <v>01755633</v>
      </c>
      <c r="E73" s="105" t="str">
        <f t="shared" si="13"/>
        <v>4400228130004</v>
      </c>
      <c r="F73" s="105" t="b">
        <f t="shared" si="14"/>
        <v>0</v>
      </c>
      <c r="G73" s="139">
        <f t="shared" si="15"/>
        <v>44926</v>
      </c>
      <c r="H73" s="105">
        <f>VLOOKUP( $A73, Aop!$A$2:$P$453, 4, 0)</f>
        <v>105</v>
      </c>
      <c r="I73" s="105">
        <f t="shared" si="16"/>
        <v>2022</v>
      </c>
      <c r="J73" s="55" t="str">
        <f t="shared" ca="1" si="20"/>
        <v/>
      </c>
      <c r="K73" s="55"/>
      <c r="L73" s="55" t="str">
        <f t="shared" ca="1" si="10"/>
        <v/>
      </c>
      <c r="M73" s="55" t="str">
        <f t="shared" ca="1" si="19"/>
        <v/>
      </c>
      <c r="N73" s="55" t="str">
        <f t="shared" ca="1" si="11"/>
        <v/>
      </c>
    </row>
    <row r="74" spans="1:14" x14ac:dyDescent="0.3">
      <c r="A74" s="105">
        <v>73</v>
      </c>
      <c r="B74" s="105" t="str">
        <f>VLOOKUP( $A74, Aop!$A$2:$P$453, 2, 0)</f>
        <v>BSp</v>
      </c>
      <c r="C74" s="105">
        <v>26</v>
      </c>
      <c r="D74" s="105" t="str">
        <f t="shared" si="12"/>
        <v>01755633</v>
      </c>
      <c r="E74" s="105" t="str">
        <f t="shared" si="13"/>
        <v>4400228130004</v>
      </c>
      <c r="F74" s="105" t="b">
        <f t="shared" si="14"/>
        <v>0</v>
      </c>
      <c r="G74" s="139">
        <f t="shared" si="15"/>
        <v>44926</v>
      </c>
      <c r="H74" s="105">
        <f>VLOOKUP( $A74, Aop!$A$2:$P$453, 4, 0)</f>
        <v>106</v>
      </c>
      <c r="I74" s="105">
        <f t="shared" si="16"/>
        <v>2022</v>
      </c>
      <c r="J74" s="55" t="str">
        <f t="shared" ca="1" si="20"/>
        <v/>
      </c>
      <c r="K74" s="55"/>
      <c r="L74" s="55" t="str">
        <f t="shared" ca="1" si="10"/>
        <v/>
      </c>
      <c r="M74" s="55" t="str">
        <f t="shared" ca="1" si="19"/>
        <v/>
      </c>
      <c r="N74" s="55" t="str">
        <f t="shared" ca="1" si="11"/>
        <v/>
      </c>
    </row>
    <row r="75" spans="1:14" x14ac:dyDescent="0.3">
      <c r="A75" s="105">
        <v>74</v>
      </c>
      <c r="B75" s="105" t="str">
        <f>VLOOKUP( $A75, Aop!$A$2:$P$453, 2, 0)</f>
        <v>BSp</v>
      </c>
      <c r="C75" s="105">
        <v>26</v>
      </c>
      <c r="D75" s="105" t="str">
        <f t="shared" si="12"/>
        <v>01755633</v>
      </c>
      <c r="E75" s="105" t="str">
        <f t="shared" si="13"/>
        <v>4400228130004</v>
      </c>
      <c r="F75" s="105" t="b">
        <f t="shared" si="14"/>
        <v>0</v>
      </c>
      <c r="G75" s="139">
        <f t="shared" si="15"/>
        <v>44926</v>
      </c>
      <c r="H75" s="105">
        <f>VLOOKUP( $A75, Aop!$A$2:$P$453, 4, 0)</f>
        <v>107</v>
      </c>
      <c r="I75" s="105">
        <f t="shared" si="16"/>
        <v>2022</v>
      </c>
      <c r="J75" s="55" t="str">
        <f t="shared" ca="1" si="20"/>
        <v/>
      </c>
      <c r="K75" s="55"/>
      <c r="L75" s="55" t="str">
        <f t="shared" ca="1" si="10"/>
        <v/>
      </c>
      <c r="M75" s="55" t="str">
        <f t="shared" ca="1" si="19"/>
        <v/>
      </c>
      <c r="N75" s="55" t="str">
        <f t="shared" ca="1" si="11"/>
        <v/>
      </c>
    </row>
    <row r="76" spans="1:14" x14ac:dyDescent="0.3">
      <c r="A76" s="105">
        <v>75</v>
      </c>
      <c r="B76" s="105" t="str">
        <f>VLOOKUP( $A76, Aop!$A$2:$P$453, 2, 0)</f>
        <v>BSp</v>
      </c>
      <c r="C76" s="105">
        <v>26</v>
      </c>
      <c r="D76" s="105" t="str">
        <f t="shared" si="12"/>
        <v>01755633</v>
      </c>
      <c r="E76" s="105" t="str">
        <f t="shared" si="13"/>
        <v>4400228130004</v>
      </c>
      <c r="F76" s="105" t="b">
        <f t="shared" si="14"/>
        <v>0</v>
      </c>
      <c r="G76" s="139">
        <f t="shared" si="15"/>
        <v>44926</v>
      </c>
      <c r="H76" s="105">
        <f>VLOOKUP( $A76, Aop!$A$2:$P$453, 4, 0)</f>
        <v>108</v>
      </c>
      <c r="I76" s="105">
        <f t="shared" si="16"/>
        <v>2022</v>
      </c>
      <c r="J76" s="55" t="str">
        <f t="shared" ca="1" si="20"/>
        <v/>
      </c>
      <c r="K76" s="55"/>
      <c r="L76" s="55" t="str">
        <f t="shared" ca="1" si="10"/>
        <v/>
      </c>
      <c r="M76" s="55" t="str">
        <f t="shared" ca="1" si="19"/>
        <v/>
      </c>
      <c r="N76" s="55" t="str">
        <f t="shared" ca="1" si="11"/>
        <v/>
      </c>
    </row>
    <row r="77" spans="1:14" x14ac:dyDescent="0.3">
      <c r="A77" s="105">
        <v>76</v>
      </c>
      <c r="B77" s="105" t="str">
        <f>VLOOKUP( $A77, Aop!$A$2:$P$453, 2, 0)</f>
        <v>BSp</v>
      </c>
      <c r="C77" s="105">
        <v>26</v>
      </c>
      <c r="D77" s="105" t="str">
        <f t="shared" si="12"/>
        <v>01755633</v>
      </c>
      <c r="E77" s="105" t="str">
        <f t="shared" si="13"/>
        <v>4400228130004</v>
      </c>
      <c r="F77" s="105" t="b">
        <f t="shared" si="14"/>
        <v>0</v>
      </c>
      <c r="G77" s="139">
        <f t="shared" si="15"/>
        <v>44926</v>
      </c>
      <c r="H77" s="105">
        <f>VLOOKUP( $A77, Aop!$A$2:$P$453, 4, 0)</f>
        <v>109</v>
      </c>
      <c r="I77" s="105">
        <f t="shared" si="16"/>
        <v>2022</v>
      </c>
      <c r="J77" s="55" t="str">
        <f t="shared" ca="1" si="20"/>
        <v/>
      </c>
      <c r="K77" s="55"/>
      <c r="L77" s="55" t="str">
        <f t="shared" ca="1" si="10"/>
        <v/>
      </c>
      <c r="M77" s="55" t="str">
        <f t="shared" ca="1" si="19"/>
        <v/>
      </c>
      <c r="N77" s="55" t="str">
        <f t="shared" ca="1" si="11"/>
        <v/>
      </c>
    </row>
    <row r="78" spans="1:14" x14ac:dyDescent="0.3">
      <c r="A78" s="105">
        <v>77</v>
      </c>
      <c r="B78" s="105" t="str">
        <f>VLOOKUP( $A78, Aop!$A$2:$P$453, 2, 0)</f>
        <v>BSp</v>
      </c>
      <c r="C78" s="105">
        <v>26</v>
      </c>
      <c r="D78" s="105" t="str">
        <f t="shared" si="12"/>
        <v>01755633</v>
      </c>
      <c r="E78" s="105" t="str">
        <f t="shared" si="13"/>
        <v>4400228130004</v>
      </c>
      <c r="F78" s="105" t="b">
        <f t="shared" si="14"/>
        <v>0</v>
      </c>
      <c r="G78" s="139">
        <f t="shared" si="15"/>
        <v>44926</v>
      </c>
      <c r="H78" s="105">
        <f>VLOOKUP( $A78, Aop!$A$2:$P$453, 4, 0)</f>
        <v>110</v>
      </c>
      <c r="I78" s="105">
        <f t="shared" si="16"/>
        <v>2022</v>
      </c>
      <c r="J78" s="55" t="str">
        <f t="shared" ca="1" si="20"/>
        <v/>
      </c>
      <c r="K78" s="55"/>
      <c r="L78" s="55" t="str">
        <f t="shared" ca="1" si="10"/>
        <v/>
      </c>
      <c r="M78" s="55">
        <f t="shared" ca="1" si="19"/>
        <v>0</v>
      </c>
      <c r="N78" s="55">
        <f t="shared" ca="1" si="11"/>
        <v>0</v>
      </c>
    </row>
    <row r="79" spans="1:14" x14ac:dyDescent="0.3">
      <c r="A79" s="105">
        <v>78</v>
      </c>
      <c r="B79" s="105" t="str">
        <f>VLOOKUP( $A79, Aop!$A$2:$P$453, 2, 0)</f>
        <v>BSp</v>
      </c>
      <c r="C79" s="105">
        <v>26</v>
      </c>
      <c r="D79" s="105" t="str">
        <f t="shared" si="12"/>
        <v>01755633</v>
      </c>
      <c r="E79" s="105" t="str">
        <f t="shared" si="13"/>
        <v>4400228130004</v>
      </c>
      <c r="F79" s="105" t="b">
        <f t="shared" si="14"/>
        <v>0</v>
      </c>
      <c r="G79" s="139">
        <f t="shared" si="15"/>
        <v>44926</v>
      </c>
      <c r="H79" s="105">
        <f>VLOOKUP( $A79, Aop!$A$2:$P$453, 4, 0)</f>
        <v>111</v>
      </c>
      <c r="I79" s="105">
        <f t="shared" si="16"/>
        <v>2022</v>
      </c>
      <c r="J79" s="55" t="str">
        <f t="shared" ca="1" si="20"/>
        <v/>
      </c>
      <c r="K79" s="55"/>
      <c r="L79" s="55" t="str">
        <f t="shared" ca="1" si="10"/>
        <v/>
      </c>
      <c r="M79" s="55" t="str">
        <f t="shared" ca="1" si="19"/>
        <v/>
      </c>
      <c r="N79" s="55" t="str">
        <f t="shared" ca="1" si="11"/>
        <v/>
      </c>
    </row>
    <row r="80" spans="1:14" x14ac:dyDescent="0.3">
      <c r="A80" s="105">
        <v>79</v>
      </c>
      <c r="B80" s="105" t="str">
        <f>VLOOKUP( $A80, Aop!$A$2:$P$453, 2, 0)</f>
        <v>BSp</v>
      </c>
      <c r="C80" s="105">
        <v>26</v>
      </c>
      <c r="D80" s="105" t="str">
        <f t="shared" si="12"/>
        <v>01755633</v>
      </c>
      <c r="E80" s="105" t="str">
        <f t="shared" si="13"/>
        <v>4400228130004</v>
      </c>
      <c r="F80" s="105" t="b">
        <f t="shared" si="14"/>
        <v>0</v>
      </c>
      <c r="G80" s="139">
        <f t="shared" si="15"/>
        <v>44926</v>
      </c>
      <c r="H80" s="105">
        <f>VLOOKUP( $A80, Aop!$A$2:$P$453, 4, 0)</f>
        <v>112</v>
      </c>
      <c r="I80" s="105">
        <f t="shared" si="16"/>
        <v>2022</v>
      </c>
      <c r="J80" s="55" t="str">
        <f t="shared" ca="1" si="20"/>
        <v/>
      </c>
      <c r="K80" s="55"/>
      <c r="L80" s="55" t="str">
        <f t="shared" ca="1" si="10"/>
        <v/>
      </c>
      <c r="M80" s="55" t="str">
        <f t="shared" ca="1" si="19"/>
        <v/>
      </c>
      <c r="N80" s="55" t="str">
        <f t="shared" ca="1" si="11"/>
        <v/>
      </c>
    </row>
    <row r="81" spans="1:14" x14ac:dyDescent="0.3">
      <c r="A81" s="105">
        <v>80</v>
      </c>
      <c r="B81" s="105" t="str">
        <f>VLOOKUP( $A81, Aop!$A$2:$P$453, 2, 0)</f>
        <v>BSp</v>
      </c>
      <c r="C81" s="105">
        <v>26</v>
      </c>
      <c r="D81" s="105" t="str">
        <f t="shared" si="12"/>
        <v>01755633</v>
      </c>
      <c r="E81" s="105" t="str">
        <f t="shared" si="13"/>
        <v>4400228130004</v>
      </c>
      <c r="F81" s="105" t="b">
        <f t="shared" si="14"/>
        <v>0</v>
      </c>
      <c r="G81" s="139">
        <f t="shared" si="15"/>
        <v>44926</v>
      </c>
      <c r="H81" s="105">
        <f>VLOOKUP( $A81, Aop!$A$2:$P$453, 4, 0)</f>
        <v>113</v>
      </c>
      <c r="I81" s="105">
        <f t="shared" si="16"/>
        <v>2022</v>
      </c>
      <c r="J81" s="55" t="str">
        <f t="shared" ca="1" si="20"/>
        <v/>
      </c>
      <c r="K81" s="55"/>
      <c r="L81" s="55" t="str">
        <f t="shared" ca="1" si="10"/>
        <v/>
      </c>
      <c r="M81" s="55" t="str">
        <f t="shared" ca="1" si="19"/>
        <v/>
      </c>
      <c r="N81" s="55" t="str">
        <f t="shared" ca="1" si="11"/>
        <v/>
      </c>
    </row>
    <row r="82" spans="1:14" x14ac:dyDescent="0.3">
      <c r="A82" s="105">
        <v>81</v>
      </c>
      <c r="B82" s="105" t="str">
        <f>VLOOKUP( $A82, Aop!$A$2:$P$453, 2, 0)</f>
        <v>BSp</v>
      </c>
      <c r="C82" s="105">
        <v>26</v>
      </c>
      <c r="D82" s="105" t="str">
        <f t="shared" si="12"/>
        <v>01755633</v>
      </c>
      <c r="E82" s="105" t="str">
        <f t="shared" si="13"/>
        <v>4400228130004</v>
      </c>
      <c r="F82" s="105" t="b">
        <f t="shared" si="14"/>
        <v>0</v>
      </c>
      <c r="G82" s="139">
        <f t="shared" si="15"/>
        <v>44926</v>
      </c>
      <c r="H82" s="105">
        <f>VLOOKUP( $A82, Aop!$A$2:$P$453, 4, 0)</f>
        <v>114</v>
      </c>
      <c r="I82" s="105">
        <f t="shared" si="16"/>
        <v>2022</v>
      </c>
      <c r="J82" s="55" t="str">
        <f t="shared" ca="1" si="20"/>
        <v/>
      </c>
      <c r="K82" s="55"/>
      <c r="L82" s="55" t="str">
        <f t="shared" ca="1" si="10"/>
        <v/>
      </c>
      <c r="M82" s="55" t="str">
        <f t="shared" ca="1" si="19"/>
        <v/>
      </c>
      <c r="N82" s="55" t="str">
        <f t="shared" ca="1" si="11"/>
        <v/>
      </c>
    </row>
    <row r="83" spans="1:14" x14ac:dyDescent="0.3">
      <c r="A83" s="105">
        <v>82</v>
      </c>
      <c r="B83" s="105" t="str">
        <f>VLOOKUP( $A83, Aop!$A$2:$P$453, 2, 0)</f>
        <v>BSp</v>
      </c>
      <c r="C83" s="105">
        <v>26</v>
      </c>
      <c r="D83" s="105" t="str">
        <f t="shared" si="12"/>
        <v>01755633</v>
      </c>
      <c r="E83" s="105" t="str">
        <f t="shared" si="13"/>
        <v>4400228130004</v>
      </c>
      <c r="F83" s="105" t="b">
        <f t="shared" si="14"/>
        <v>0</v>
      </c>
      <c r="G83" s="139">
        <f t="shared" si="15"/>
        <v>44926</v>
      </c>
      <c r="H83" s="105">
        <f>VLOOKUP( $A83, Aop!$A$2:$P$453, 4, 0)</f>
        <v>115</v>
      </c>
      <c r="I83" s="105">
        <f t="shared" si="16"/>
        <v>2022</v>
      </c>
      <c r="J83" s="55" t="str">
        <f t="shared" ca="1" si="20"/>
        <v/>
      </c>
      <c r="K83" s="55"/>
      <c r="L83" s="55" t="str">
        <f t="shared" ca="1" si="10"/>
        <v/>
      </c>
      <c r="M83" s="55">
        <f t="shared" ca="1" si="19"/>
        <v>2255014</v>
      </c>
      <c r="N83" s="55">
        <f t="shared" ca="1" si="11"/>
        <v>2255014</v>
      </c>
    </row>
    <row r="84" spans="1:14" x14ac:dyDescent="0.3">
      <c r="A84" s="105">
        <v>83</v>
      </c>
      <c r="B84" s="105" t="str">
        <f>VLOOKUP( $A84, Aop!$A$2:$P$453, 2, 0)</f>
        <v>BSp</v>
      </c>
      <c r="C84" s="105">
        <v>26</v>
      </c>
      <c r="D84" s="105" t="str">
        <f t="shared" si="12"/>
        <v>01755633</v>
      </c>
      <c r="E84" s="105" t="str">
        <f t="shared" si="13"/>
        <v>4400228130004</v>
      </c>
      <c r="F84" s="105" t="b">
        <f t="shared" si="14"/>
        <v>0</v>
      </c>
      <c r="G84" s="139">
        <f t="shared" si="15"/>
        <v>44926</v>
      </c>
      <c r="H84" s="105">
        <f>VLOOKUP( $A84, Aop!$A$2:$P$453, 4, 0)</f>
        <v>116</v>
      </c>
      <c r="I84" s="105">
        <f t="shared" si="16"/>
        <v>2022</v>
      </c>
      <c r="J84" s="55" t="str">
        <f t="shared" ca="1" si="20"/>
        <v/>
      </c>
      <c r="K84" s="55"/>
      <c r="L84" s="55" t="str">
        <f t="shared" ca="1" si="10"/>
        <v/>
      </c>
      <c r="M84" s="55">
        <f t="shared" ca="1" si="19"/>
        <v>144261</v>
      </c>
      <c r="N84" s="55">
        <f t="shared" ca="1" si="11"/>
        <v>144261</v>
      </c>
    </row>
    <row r="85" spans="1:14" x14ac:dyDescent="0.3">
      <c r="A85" s="105">
        <v>84</v>
      </c>
      <c r="B85" s="105" t="str">
        <f>VLOOKUP( $A85, Aop!$A$2:$P$453, 2, 0)</f>
        <v>BSp</v>
      </c>
      <c r="C85" s="105">
        <v>26</v>
      </c>
      <c r="D85" s="105" t="str">
        <f t="shared" si="12"/>
        <v>01755633</v>
      </c>
      <c r="E85" s="105" t="str">
        <f t="shared" si="13"/>
        <v>4400228130004</v>
      </c>
      <c r="F85" s="105" t="b">
        <f t="shared" si="14"/>
        <v>0</v>
      </c>
      <c r="G85" s="139">
        <f t="shared" si="15"/>
        <v>44926</v>
      </c>
      <c r="H85" s="105">
        <f>VLOOKUP( $A85, Aop!$A$2:$P$453, 4, 0)</f>
        <v>117</v>
      </c>
      <c r="I85" s="105">
        <f t="shared" si="16"/>
        <v>2022</v>
      </c>
      <c r="J85" s="55" t="str">
        <f t="shared" ca="1" si="20"/>
        <v/>
      </c>
      <c r="K85" s="55"/>
      <c r="L85" s="55" t="str">
        <f t="shared" ca="1" si="10"/>
        <v/>
      </c>
      <c r="M85" s="55">
        <f t="shared" ca="1" si="19"/>
        <v>2110753</v>
      </c>
      <c r="N85" s="55">
        <f t="shared" ca="1" si="11"/>
        <v>2110753</v>
      </c>
    </row>
    <row r="86" spans="1:14" x14ac:dyDescent="0.3">
      <c r="A86" s="105">
        <v>85</v>
      </c>
      <c r="B86" s="105" t="str">
        <f>VLOOKUP( $A86, Aop!$A$2:$P$453, 2, 0)</f>
        <v>BSp</v>
      </c>
      <c r="C86" s="105">
        <v>26</v>
      </c>
      <c r="D86" s="105" t="str">
        <f t="shared" si="12"/>
        <v>01755633</v>
      </c>
      <c r="E86" s="105" t="str">
        <f t="shared" si="13"/>
        <v>4400228130004</v>
      </c>
      <c r="F86" s="105" t="b">
        <f t="shared" si="14"/>
        <v>0</v>
      </c>
      <c r="G86" s="139">
        <f t="shared" si="15"/>
        <v>44926</v>
      </c>
      <c r="H86" s="105">
        <f>VLOOKUP( $A86, Aop!$A$2:$P$453, 4, 0)</f>
        <v>118</v>
      </c>
      <c r="I86" s="105">
        <f t="shared" si="16"/>
        <v>2022</v>
      </c>
      <c r="J86" s="55" t="str">
        <f t="shared" ca="1" si="20"/>
        <v/>
      </c>
      <c r="K86" s="55"/>
      <c r="L86" s="55" t="str">
        <f t="shared" ca="1" si="10"/>
        <v/>
      </c>
      <c r="M86" s="55" t="str">
        <f t="shared" ca="1" si="19"/>
        <v/>
      </c>
      <c r="N86" s="55" t="str">
        <f t="shared" ca="1" si="11"/>
        <v/>
      </c>
    </row>
    <row r="87" spans="1:14" x14ac:dyDescent="0.3">
      <c r="A87" s="105">
        <v>86</v>
      </c>
      <c r="B87" s="105" t="str">
        <f>VLOOKUP( $A87, Aop!$A$2:$P$453, 2, 0)</f>
        <v>BSp</v>
      </c>
      <c r="C87" s="105">
        <v>26</v>
      </c>
      <c r="D87" s="105" t="str">
        <f t="shared" si="12"/>
        <v>01755633</v>
      </c>
      <c r="E87" s="105" t="str">
        <f t="shared" si="13"/>
        <v>4400228130004</v>
      </c>
      <c r="F87" s="105" t="b">
        <f t="shared" si="14"/>
        <v>0</v>
      </c>
      <c r="G87" s="139">
        <f t="shared" si="15"/>
        <v>44926</v>
      </c>
      <c r="H87" s="105">
        <f>VLOOKUP( $A87, Aop!$A$2:$P$453, 4, 0)</f>
        <v>119</v>
      </c>
      <c r="I87" s="105">
        <f t="shared" si="16"/>
        <v>2022</v>
      </c>
      <c r="J87" s="55" t="str">
        <f t="shared" ca="1" si="20"/>
        <v/>
      </c>
      <c r="K87" s="55"/>
      <c r="L87" s="55" t="str">
        <f t="shared" ca="1" si="10"/>
        <v/>
      </c>
      <c r="M87" s="55">
        <f t="shared" ca="1" si="19"/>
        <v>837465</v>
      </c>
      <c r="N87" s="55">
        <f t="shared" ca="1" si="11"/>
        <v>837465</v>
      </c>
    </row>
    <row r="88" spans="1:14" x14ac:dyDescent="0.3">
      <c r="A88" s="105">
        <v>87</v>
      </c>
      <c r="B88" s="105" t="str">
        <f>VLOOKUP( $A88, Aop!$A$2:$P$453, 2, 0)</f>
        <v>BSp</v>
      </c>
      <c r="C88" s="105">
        <v>26</v>
      </c>
      <c r="D88" s="105" t="str">
        <f t="shared" si="12"/>
        <v>01755633</v>
      </c>
      <c r="E88" s="105" t="str">
        <f t="shared" si="13"/>
        <v>4400228130004</v>
      </c>
      <c r="F88" s="105" t="b">
        <f t="shared" si="14"/>
        <v>0</v>
      </c>
      <c r="G88" s="139">
        <f t="shared" si="15"/>
        <v>44926</v>
      </c>
      <c r="H88" s="105">
        <f>VLOOKUP( $A88, Aop!$A$2:$P$453, 4, 0)</f>
        <v>120</v>
      </c>
      <c r="I88" s="105">
        <f t="shared" si="16"/>
        <v>2022</v>
      </c>
      <c r="J88" s="55" t="str">
        <f t="shared" ca="1" si="20"/>
        <v/>
      </c>
      <c r="K88" s="55"/>
      <c r="L88" s="55" t="str">
        <f t="shared" ca="1" si="10"/>
        <v/>
      </c>
      <c r="M88" s="55" t="str">
        <f t="shared" ca="1" si="19"/>
        <v/>
      </c>
      <c r="N88" s="55" t="str">
        <f t="shared" ca="1" si="11"/>
        <v/>
      </c>
    </row>
    <row r="89" spans="1:14" x14ac:dyDescent="0.3">
      <c r="A89" s="105">
        <v>88</v>
      </c>
      <c r="B89" s="105" t="str">
        <f>VLOOKUP( $A89, Aop!$A$2:$P$453, 2, 0)</f>
        <v>BSp</v>
      </c>
      <c r="C89" s="105">
        <v>26</v>
      </c>
      <c r="D89" s="105" t="str">
        <f t="shared" si="12"/>
        <v>01755633</v>
      </c>
      <c r="E89" s="105" t="str">
        <f t="shared" si="13"/>
        <v>4400228130004</v>
      </c>
      <c r="F89" s="105" t="b">
        <f t="shared" si="14"/>
        <v>0</v>
      </c>
      <c r="G89" s="139">
        <f t="shared" si="15"/>
        <v>44926</v>
      </c>
      <c r="H89" s="105">
        <f>VLOOKUP( $A89, Aop!$A$2:$P$453, 4, 0)</f>
        <v>121</v>
      </c>
      <c r="I89" s="105">
        <f t="shared" si="16"/>
        <v>2022</v>
      </c>
      <c r="J89" s="55" t="str">
        <f t="shared" ca="1" si="20"/>
        <v/>
      </c>
      <c r="K89" s="55"/>
      <c r="L89" s="55" t="str">
        <f t="shared" ca="1" si="10"/>
        <v/>
      </c>
      <c r="M89" s="55">
        <f t="shared" ca="1" si="19"/>
        <v>837465</v>
      </c>
      <c r="N89" s="55">
        <f t="shared" ca="1" si="11"/>
        <v>837465</v>
      </c>
    </row>
    <row r="90" spans="1:14" x14ac:dyDescent="0.3">
      <c r="A90" s="105">
        <v>89</v>
      </c>
      <c r="B90" s="105" t="str">
        <f>VLOOKUP( $A90, Aop!$A$2:$P$453, 2, 0)</f>
        <v>BSp</v>
      </c>
      <c r="C90" s="105">
        <v>26</v>
      </c>
      <c r="D90" s="105" t="str">
        <f t="shared" si="12"/>
        <v>01755633</v>
      </c>
      <c r="E90" s="105" t="str">
        <f t="shared" si="13"/>
        <v>4400228130004</v>
      </c>
      <c r="F90" s="105" t="b">
        <f t="shared" si="14"/>
        <v>0</v>
      </c>
      <c r="G90" s="139">
        <f t="shared" si="15"/>
        <v>44926</v>
      </c>
      <c r="H90" s="105">
        <f>VLOOKUP( $A90, Aop!$A$2:$P$453, 4, 0)</f>
        <v>122</v>
      </c>
      <c r="I90" s="105">
        <f t="shared" si="16"/>
        <v>2022</v>
      </c>
      <c r="J90" s="55" t="str">
        <f t="shared" ca="1" si="20"/>
        <v/>
      </c>
      <c r="K90" s="55"/>
      <c r="L90" s="55" t="str">
        <f t="shared" ca="1" si="10"/>
        <v/>
      </c>
      <c r="M90" s="55" t="str">
        <f t="shared" ca="1" si="19"/>
        <v/>
      </c>
      <c r="N90" s="55" t="str">
        <f t="shared" ca="1" si="11"/>
        <v/>
      </c>
    </row>
    <row r="91" spans="1:14" x14ac:dyDescent="0.3">
      <c r="A91" s="105">
        <v>90</v>
      </c>
      <c r="B91" s="105" t="str">
        <f>VLOOKUP( $A91, Aop!$A$2:$P$453, 2, 0)</f>
        <v>BSp</v>
      </c>
      <c r="C91" s="105">
        <v>26</v>
      </c>
      <c r="D91" s="105" t="str">
        <f t="shared" si="12"/>
        <v>01755633</v>
      </c>
      <c r="E91" s="105" t="str">
        <f t="shared" si="13"/>
        <v>4400228130004</v>
      </c>
      <c r="F91" s="105" t="b">
        <f t="shared" si="14"/>
        <v>0</v>
      </c>
      <c r="G91" s="139">
        <f t="shared" si="15"/>
        <v>44926</v>
      </c>
      <c r="H91" s="105">
        <f>VLOOKUP( $A91, Aop!$A$2:$P$453, 4, 0)</f>
        <v>123</v>
      </c>
      <c r="I91" s="105">
        <f t="shared" si="16"/>
        <v>2022</v>
      </c>
      <c r="J91" s="55" t="str">
        <f t="shared" ca="1" si="20"/>
        <v/>
      </c>
      <c r="K91" s="55"/>
      <c r="L91" s="55" t="str">
        <f t="shared" ca="1" si="10"/>
        <v/>
      </c>
      <c r="M91" s="55" t="str">
        <f t="shared" ca="1" si="19"/>
        <v/>
      </c>
      <c r="N91" s="55" t="str">
        <f t="shared" ca="1" si="11"/>
        <v/>
      </c>
    </row>
    <row r="92" spans="1:14" x14ac:dyDescent="0.3">
      <c r="A92" s="105">
        <v>91</v>
      </c>
      <c r="B92" s="105" t="str">
        <f>VLOOKUP( $A92, Aop!$A$2:$P$453, 2, 0)</f>
        <v>BSp</v>
      </c>
      <c r="C92" s="105">
        <v>26</v>
      </c>
      <c r="D92" s="105" t="str">
        <f t="shared" si="12"/>
        <v>01755633</v>
      </c>
      <c r="E92" s="105" t="str">
        <f t="shared" si="13"/>
        <v>4400228130004</v>
      </c>
      <c r="F92" s="105" t="b">
        <f t="shared" si="14"/>
        <v>0</v>
      </c>
      <c r="G92" s="139">
        <f t="shared" si="15"/>
        <v>44926</v>
      </c>
      <c r="H92" s="105">
        <f>VLOOKUP( $A92, Aop!$A$2:$P$453, 4, 0)</f>
        <v>124</v>
      </c>
      <c r="I92" s="105">
        <f t="shared" si="16"/>
        <v>2022</v>
      </c>
      <c r="J92" s="55" t="str">
        <f t="shared" ca="1" si="20"/>
        <v/>
      </c>
      <c r="K92" s="55"/>
      <c r="L92" s="55" t="str">
        <f t="shared" ca="1" si="10"/>
        <v/>
      </c>
      <c r="M92" s="55">
        <f t="shared" ca="1" si="19"/>
        <v>454948</v>
      </c>
      <c r="N92" s="55">
        <f t="shared" ca="1" si="11"/>
        <v>454948</v>
      </c>
    </row>
    <row r="93" spans="1:14" x14ac:dyDescent="0.3">
      <c r="A93" s="105">
        <v>92</v>
      </c>
      <c r="B93" s="105" t="str">
        <f>VLOOKUP( $A93, Aop!$A$2:$P$453, 2, 0)</f>
        <v>BSp</v>
      </c>
      <c r="C93" s="105">
        <v>26</v>
      </c>
      <c r="D93" s="105" t="str">
        <f t="shared" si="12"/>
        <v>01755633</v>
      </c>
      <c r="E93" s="105" t="str">
        <f t="shared" si="13"/>
        <v>4400228130004</v>
      </c>
      <c r="F93" s="105" t="b">
        <f t="shared" si="14"/>
        <v>0</v>
      </c>
      <c r="G93" s="139">
        <f t="shared" si="15"/>
        <v>44926</v>
      </c>
      <c r="H93" s="105">
        <f>VLOOKUP( $A93, Aop!$A$2:$P$453, 4, 0)</f>
        <v>125</v>
      </c>
      <c r="I93" s="105">
        <f t="shared" si="16"/>
        <v>2022</v>
      </c>
      <c r="J93" s="55" t="str">
        <f t="shared" ca="1" si="20"/>
        <v/>
      </c>
      <c r="K93" s="55"/>
      <c r="L93" s="55" t="str">
        <f t="shared" ca="1" si="10"/>
        <v/>
      </c>
      <c r="M93" s="55" t="str">
        <f t="shared" ca="1" si="19"/>
        <v/>
      </c>
      <c r="N93" s="55" t="str">
        <f t="shared" ca="1" si="11"/>
        <v/>
      </c>
    </row>
    <row r="94" spans="1:14" x14ac:dyDescent="0.3">
      <c r="A94" s="105">
        <v>93</v>
      </c>
      <c r="B94" s="105" t="str">
        <f>VLOOKUP( $A94, Aop!$A$2:$P$453, 2, 0)</f>
        <v>BSp</v>
      </c>
      <c r="C94" s="105">
        <v>26</v>
      </c>
      <c r="D94" s="105" t="str">
        <f t="shared" si="12"/>
        <v>01755633</v>
      </c>
      <c r="E94" s="105" t="str">
        <f t="shared" si="13"/>
        <v>4400228130004</v>
      </c>
      <c r="F94" s="105" t="b">
        <f t="shared" si="14"/>
        <v>0</v>
      </c>
      <c r="G94" s="139">
        <f t="shared" si="15"/>
        <v>44926</v>
      </c>
      <c r="H94" s="105">
        <f>VLOOKUP( $A94, Aop!$A$2:$P$453, 4, 0)</f>
        <v>126</v>
      </c>
      <c r="I94" s="105">
        <f t="shared" si="16"/>
        <v>2022</v>
      </c>
      <c r="J94" s="55" t="str">
        <f t="shared" ca="1" si="20"/>
        <v/>
      </c>
      <c r="K94" s="55"/>
      <c r="L94" s="55" t="str">
        <f t="shared" ca="1" si="10"/>
        <v/>
      </c>
      <c r="M94" s="55">
        <f t="shared" ca="1" si="19"/>
        <v>454948</v>
      </c>
      <c r="N94" s="55">
        <f t="shared" ca="1" si="11"/>
        <v>454948</v>
      </c>
    </row>
    <row r="95" spans="1:14" x14ac:dyDescent="0.3">
      <c r="A95" s="105">
        <v>94</v>
      </c>
      <c r="B95" s="105" t="str">
        <f>VLOOKUP( $A95, Aop!$A$2:$P$453, 2, 0)</f>
        <v>BSp</v>
      </c>
      <c r="C95" s="105">
        <v>26</v>
      </c>
      <c r="D95" s="105" t="str">
        <f t="shared" si="12"/>
        <v>01755633</v>
      </c>
      <c r="E95" s="105" t="str">
        <f t="shared" si="13"/>
        <v>4400228130004</v>
      </c>
      <c r="F95" s="105" t="b">
        <f t="shared" si="14"/>
        <v>0</v>
      </c>
      <c r="G95" s="139">
        <f t="shared" si="15"/>
        <v>44926</v>
      </c>
      <c r="H95" s="105">
        <f>VLOOKUP( $A95, Aop!$A$2:$P$453, 4, 0)</f>
        <v>127</v>
      </c>
      <c r="I95" s="105">
        <f t="shared" si="16"/>
        <v>2022</v>
      </c>
      <c r="J95" s="55" t="str">
        <f t="shared" ca="1" si="20"/>
        <v/>
      </c>
      <c r="K95" s="55"/>
      <c r="L95" s="55" t="str">
        <f t="shared" ca="1" si="10"/>
        <v/>
      </c>
      <c r="M95" s="55" t="str">
        <f t="shared" ca="1" si="19"/>
        <v/>
      </c>
      <c r="N95" s="55" t="str">
        <f t="shared" ca="1" si="11"/>
        <v/>
      </c>
    </row>
    <row r="96" spans="1:14" x14ac:dyDescent="0.3">
      <c r="A96" s="105">
        <v>95</v>
      </c>
      <c r="B96" s="105" t="str">
        <f>VLOOKUP( $A96, Aop!$A$2:$P$453, 2, 0)</f>
        <v>BSp</v>
      </c>
      <c r="C96" s="105">
        <v>26</v>
      </c>
      <c r="D96" s="105" t="str">
        <f t="shared" si="12"/>
        <v>01755633</v>
      </c>
      <c r="E96" s="105" t="str">
        <f t="shared" si="13"/>
        <v>4400228130004</v>
      </c>
      <c r="F96" s="105" t="b">
        <f t="shared" si="14"/>
        <v>0</v>
      </c>
      <c r="G96" s="139">
        <f t="shared" si="15"/>
        <v>44926</v>
      </c>
      <c r="H96" s="105">
        <f>VLOOKUP( $A96, Aop!$A$2:$P$453, 4, 0)</f>
        <v>128</v>
      </c>
      <c r="I96" s="105">
        <f t="shared" si="16"/>
        <v>2022</v>
      </c>
      <c r="J96" s="55" t="str">
        <f t="shared" ca="1" si="20"/>
        <v/>
      </c>
      <c r="K96" s="55"/>
      <c r="L96" s="55" t="str">
        <f t="shared" ca="1" si="10"/>
        <v/>
      </c>
      <c r="M96" s="55">
        <f t="shared" ca="1" si="19"/>
        <v>0</v>
      </c>
      <c r="N96" s="55">
        <f t="shared" ca="1" si="11"/>
        <v>0</v>
      </c>
    </row>
    <row r="97" spans="1:14" x14ac:dyDescent="0.3">
      <c r="A97" s="105">
        <v>96</v>
      </c>
      <c r="B97" s="105" t="str">
        <f>VLOOKUP( $A97, Aop!$A$2:$P$453, 2, 0)</f>
        <v>BSp</v>
      </c>
      <c r="C97" s="105">
        <v>26</v>
      </c>
      <c r="D97" s="105" t="str">
        <f t="shared" si="12"/>
        <v>01755633</v>
      </c>
      <c r="E97" s="105" t="str">
        <f t="shared" si="13"/>
        <v>4400228130004</v>
      </c>
      <c r="F97" s="105" t="b">
        <f t="shared" si="14"/>
        <v>0</v>
      </c>
      <c r="G97" s="139">
        <f t="shared" si="15"/>
        <v>44926</v>
      </c>
      <c r="H97" s="105">
        <f>VLOOKUP( $A97, Aop!$A$2:$P$453, 4, 0)</f>
        <v>129</v>
      </c>
      <c r="I97" s="105">
        <f t="shared" si="16"/>
        <v>2022</v>
      </c>
      <c r="J97" s="55" t="str">
        <f t="shared" ca="1" si="20"/>
        <v/>
      </c>
      <c r="K97" s="55"/>
      <c r="L97" s="55" t="str">
        <f t="shared" ca="1" si="10"/>
        <v/>
      </c>
      <c r="M97" s="55" t="str">
        <f t="shared" ca="1" si="19"/>
        <v/>
      </c>
      <c r="N97" s="55" t="str">
        <f t="shared" ca="1" si="11"/>
        <v/>
      </c>
    </row>
    <row r="98" spans="1:14" x14ac:dyDescent="0.3">
      <c r="A98" s="105">
        <v>97</v>
      </c>
      <c r="B98" s="105" t="str">
        <f>VLOOKUP( $A98, Aop!$A$2:$P$453, 2, 0)</f>
        <v>BSp</v>
      </c>
      <c r="C98" s="105">
        <v>26</v>
      </c>
      <c r="D98" s="105" t="str">
        <f t="shared" si="12"/>
        <v>01755633</v>
      </c>
      <c r="E98" s="105" t="str">
        <f t="shared" si="13"/>
        <v>4400228130004</v>
      </c>
      <c r="F98" s="105" t="b">
        <f t="shared" si="14"/>
        <v>0</v>
      </c>
      <c r="G98" s="139">
        <f t="shared" si="15"/>
        <v>44926</v>
      </c>
      <c r="H98" s="105">
        <f>VLOOKUP( $A98, Aop!$A$2:$P$453, 4, 0)</f>
        <v>130</v>
      </c>
      <c r="I98" s="105">
        <f t="shared" si="16"/>
        <v>2022</v>
      </c>
      <c r="J98" s="55" t="str">
        <f t="shared" ca="1" si="20"/>
        <v/>
      </c>
      <c r="K98" s="55"/>
      <c r="L98" s="55" t="str">
        <f t="shared" ca="1" si="10"/>
        <v/>
      </c>
      <c r="M98" s="55" t="str">
        <f t="shared" ca="1" si="19"/>
        <v/>
      </c>
      <c r="N98" s="55" t="str">
        <f t="shared" ca="1" si="11"/>
        <v/>
      </c>
    </row>
    <row r="99" spans="1:14" x14ac:dyDescent="0.3">
      <c r="A99" s="105">
        <v>98</v>
      </c>
      <c r="B99" s="105" t="str">
        <f>VLOOKUP( $A99, Aop!$A$2:$P$453, 2, 0)</f>
        <v>BSp</v>
      </c>
      <c r="C99" s="105">
        <v>26</v>
      </c>
      <c r="D99" s="105" t="str">
        <f t="shared" si="12"/>
        <v>01755633</v>
      </c>
      <c r="E99" s="105" t="str">
        <f t="shared" si="13"/>
        <v>4400228130004</v>
      </c>
      <c r="F99" s="105" t="b">
        <f t="shared" si="14"/>
        <v>0</v>
      </c>
      <c r="G99" s="139">
        <f t="shared" si="15"/>
        <v>44926</v>
      </c>
      <c r="H99" s="105">
        <f>VLOOKUP( $A99, Aop!$A$2:$P$453, 4, 0)</f>
        <v>131</v>
      </c>
      <c r="I99" s="105">
        <f t="shared" si="16"/>
        <v>2022</v>
      </c>
      <c r="J99" s="55" t="str">
        <f t="shared" ca="1" si="20"/>
        <v/>
      </c>
      <c r="K99" s="55"/>
      <c r="L99" s="55" t="str">
        <f t="shared" ca="1" si="10"/>
        <v/>
      </c>
      <c r="M99" s="55" t="str">
        <f t="shared" ca="1" si="19"/>
        <v/>
      </c>
      <c r="N99" s="55" t="str">
        <f t="shared" ca="1" si="11"/>
        <v/>
      </c>
    </row>
    <row r="100" spans="1:14" x14ac:dyDescent="0.3">
      <c r="A100" s="105">
        <v>99</v>
      </c>
      <c r="B100" s="105" t="str">
        <f>VLOOKUP( $A100, Aop!$A$2:$P$453, 2, 0)</f>
        <v>BSp</v>
      </c>
      <c r="C100" s="105">
        <v>26</v>
      </c>
      <c r="D100" s="105" t="str">
        <f t="shared" si="12"/>
        <v>01755633</v>
      </c>
      <c r="E100" s="105" t="str">
        <f t="shared" si="13"/>
        <v>4400228130004</v>
      </c>
      <c r="F100" s="105" t="b">
        <f t="shared" si="14"/>
        <v>0</v>
      </c>
      <c r="G100" s="139">
        <f t="shared" si="15"/>
        <v>44926</v>
      </c>
      <c r="H100" s="105">
        <f>VLOOKUP( $A100, Aop!$A$2:$P$453, 4, 0)</f>
        <v>132</v>
      </c>
      <c r="I100" s="105">
        <f t="shared" si="16"/>
        <v>2022</v>
      </c>
      <c r="J100" s="55" t="str">
        <f t="shared" ca="1" si="20"/>
        <v/>
      </c>
      <c r="K100" s="55"/>
      <c r="L100" s="55" t="str">
        <f t="shared" ca="1" si="10"/>
        <v/>
      </c>
      <c r="M100" s="55">
        <f t="shared" ca="1" si="19"/>
        <v>0</v>
      </c>
      <c r="N100" s="55">
        <f t="shared" ca="1" si="11"/>
        <v>0</v>
      </c>
    </row>
    <row r="101" spans="1:14" x14ac:dyDescent="0.3">
      <c r="A101" s="105">
        <v>100</v>
      </c>
      <c r="B101" s="105" t="str">
        <f>VLOOKUP( $A101, Aop!$A$2:$P$453, 2, 0)</f>
        <v>BSp</v>
      </c>
      <c r="C101" s="105">
        <v>26</v>
      </c>
      <c r="D101" s="105" t="str">
        <f t="shared" si="12"/>
        <v>01755633</v>
      </c>
      <c r="E101" s="105" t="str">
        <f t="shared" si="13"/>
        <v>4400228130004</v>
      </c>
      <c r="F101" s="105" t="b">
        <f t="shared" si="14"/>
        <v>0</v>
      </c>
      <c r="G101" s="139">
        <f t="shared" si="15"/>
        <v>44926</v>
      </c>
      <c r="H101" s="105">
        <f>VLOOKUP( $A101, Aop!$A$2:$P$453, 4, 0)</f>
        <v>133</v>
      </c>
      <c r="I101" s="105">
        <f t="shared" si="16"/>
        <v>2022</v>
      </c>
      <c r="J101" s="55" t="str">
        <f t="shared" ca="1" si="20"/>
        <v/>
      </c>
      <c r="K101" s="55"/>
      <c r="L101" s="55" t="str">
        <f t="shared" ca="1" si="10"/>
        <v/>
      </c>
      <c r="M101" s="55">
        <f t="shared" ca="1" si="19"/>
        <v>0</v>
      </c>
      <c r="N101" s="55">
        <f t="shared" ca="1" si="11"/>
        <v>0</v>
      </c>
    </row>
    <row r="102" spans="1:14" x14ac:dyDescent="0.3">
      <c r="A102" s="105">
        <v>101</v>
      </c>
      <c r="B102" s="105" t="str">
        <f>VLOOKUP( $A102, Aop!$A$2:$P$453, 2, 0)</f>
        <v>BSp</v>
      </c>
      <c r="C102" s="105">
        <v>26</v>
      </c>
      <c r="D102" s="105" t="str">
        <f t="shared" si="12"/>
        <v>01755633</v>
      </c>
      <c r="E102" s="105" t="str">
        <f t="shared" si="13"/>
        <v>4400228130004</v>
      </c>
      <c r="F102" s="105" t="b">
        <f t="shared" si="14"/>
        <v>0</v>
      </c>
      <c r="G102" s="139">
        <f t="shared" si="15"/>
        <v>44926</v>
      </c>
      <c r="H102" s="105">
        <f>VLOOKUP( $A102, Aop!$A$2:$P$453, 4, 0)</f>
        <v>134</v>
      </c>
      <c r="I102" s="105">
        <f t="shared" si="16"/>
        <v>2022</v>
      </c>
      <c r="J102" s="55" t="str">
        <f t="shared" ca="1" si="20"/>
        <v/>
      </c>
      <c r="K102" s="55"/>
      <c r="L102" s="55" t="str">
        <f t="shared" ca="1" si="10"/>
        <v/>
      </c>
      <c r="M102" s="55" t="str">
        <f t="shared" ca="1" si="19"/>
        <v/>
      </c>
      <c r="N102" s="55" t="str">
        <f t="shared" ca="1" si="11"/>
        <v/>
      </c>
    </row>
    <row r="103" spans="1:14" x14ac:dyDescent="0.3">
      <c r="A103" s="105">
        <v>102</v>
      </c>
      <c r="B103" s="105" t="str">
        <f>VLOOKUP( $A103, Aop!$A$2:$P$453, 2, 0)</f>
        <v>BSp</v>
      </c>
      <c r="C103" s="105">
        <v>26</v>
      </c>
      <c r="D103" s="105" t="str">
        <f t="shared" si="12"/>
        <v>01755633</v>
      </c>
      <c r="E103" s="105" t="str">
        <f t="shared" si="13"/>
        <v>4400228130004</v>
      </c>
      <c r="F103" s="105" t="b">
        <f t="shared" si="14"/>
        <v>0</v>
      </c>
      <c r="G103" s="139">
        <f t="shared" si="15"/>
        <v>44926</v>
      </c>
      <c r="H103" s="105">
        <f>VLOOKUP( $A103, Aop!$A$2:$P$453, 4, 0)</f>
        <v>135</v>
      </c>
      <c r="I103" s="105">
        <f t="shared" si="16"/>
        <v>2022</v>
      </c>
      <c r="J103" s="55" t="str">
        <f t="shared" ca="1" si="20"/>
        <v/>
      </c>
      <c r="K103" s="55"/>
      <c r="L103" s="55" t="str">
        <f t="shared" ca="1" si="10"/>
        <v/>
      </c>
      <c r="M103" s="55" t="str">
        <f t="shared" ca="1" si="19"/>
        <v/>
      </c>
      <c r="N103" s="55" t="str">
        <f t="shared" ca="1" si="11"/>
        <v/>
      </c>
    </row>
    <row r="104" spans="1:14" x14ac:dyDescent="0.3">
      <c r="A104" s="105">
        <v>103</v>
      </c>
      <c r="B104" s="105" t="str">
        <f>VLOOKUP( $A104, Aop!$A$2:$P$453, 2, 0)</f>
        <v>BSp</v>
      </c>
      <c r="C104" s="105">
        <v>26</v>
      </c>
      <c r="D104" s="105" t="str">
        <f t="shared" si="12"/>
        <v>01755633</v>
      </c>
      <c r="E104" s="105" t="str">
        <f t="shared" si="13"/>
        <v>4400228130004</v>
      </c>
      <c r="F104" s="105" t="b">
        <f t="shared" si="14"/>
        <v>0</v>
      </c>
      <c r="G104" s="139">
        <f t="shared" si="15"/>
        <v>44926</v>
      </c>
      <c r="H104" s="105">
        <f>VLOOKUP( $A104, Aop!$A$2:$P$453, 4, 0)</f>
        <v>136</v>
      </c>
      <c r="I104" s="105">
        <f t="shared" si="16"/>
        <v>2022</v>
      </c>
      <c r="J104" s="55" t="str">
        <f t="shared" ca="1" si="20"/>
        <v/>
      </c>
      <c r="K104" s="55"/>
      <c r="L104" s="55" t="str">
        <f t="shared" ca="1" si="10"/>
        <v/>
      </c>
      <c r="M104" s="55" t="str">
        <f t="shared" ca="1" si="19"/>
        <v/>
      </c>
      <c r="N104" s="55" t="str">
        <f t="shared" ca="1" si="11"/>
        <v/>
      </c>
    </row>
    <row r="105" spans="1:14" x14ac:dyDescent="0.3">
      <c r="A105" s="105">
        <v>104</v>
      </c>
      <c r="B105" s="105" t="str">
        <f>VLOOKUP( $A105, Aop!$A$2:$P$453, 2, 0)</f>
        <v>BSp</v>
      </c>
      <c r="C105" s="105">
        <v>26</v>
      </c>
      <c r="D105" s="105" t="str">
        <f t="shared" si="12"/>
        <v>01755633</v>
      </c>
      <c r="E105" s="105" t="str">
        <f t="shared" si="13"/>
        <v>4400228130004</v>
      </c>
      <c r="F105" s="105" t="b">
        <f t="shared" si="14"/>
        <v>0</v>
      </c>
      <c r="G105" s="139">
        <f t="shared" si="15"/>
        <v>44926</v>
      </c>
      <c r="H105" s="105">
        <f>VLOOKUP( $A105, Aop!$A$2:$P$453, 4, 0)</f>
        <v>137</v>
      </c>
      <c r="I105" s="105">
        <f t="shared" si="16"/>
        <v>2022</v>
      </c>
      <c r="J105" s="55" t="str">
        <f t="shared" ca="1" si="20"/>
        <v/>
      </c>
      <c r="K105" s="55"/>
      <c r="L105" s="55" t="str">
        <f t="shared" ca="1" si="10"/>
        <v/>
      </c>
      <c r="M105" s="55">
        <f t="shared" ca="1" si="19"/>
        <v>0</v>
      </c>
      <c r="N105" s="55">
        <f t="shared" ca="1" si="11"/>
        <v>0</v>
      </c>
    </row>
    <row r="106" spans="1:14" x14ac:dyDescent="0.3">
      <c r="A106" s="105">
        <v>105</v>
      </c>
      <c r="B106" s="105" t="str">
        <f>VLOOKUP( $A106, Aop!$A$2:$P$453, 2, 0)</f>
        <v>BSp</v>
      </c>
      <c r="C106" s="105">
        <v>26</v>
      </c>
      <c r="D106" s="105" t="str">
        <f t="shared" si="12"/>
        <v>01755633</v>
      </c>
      <c r="E106" s="105" t="str">
        <f t="shared" si="13"/>
        <v>4400228130004</v>
      </c>
      <c r="F106" s="105" t="b">
        <f t="shared" si="14"/>
        <v>0</v>
      </c>
      <c r="G106" s="139">
        <f t="shared" si="15"/>
        <v>44926</v>
      </c>
      <c r="H106" s="105">
        <f>VLOOKUP( $A106, Aop!$A$2:$P$453, 4, 0)</f>
        <v>138</v>
      </c>
      <c r="I106" s="105">
        <f t="shared" si="16"/>
        <v>2022</v>
      </c>
      <c r="J106" s="55" t="str">
        <f t="shared" ca="1" si="20"/>
        <v/>
      </c>
      <c r="K106" s="55"/>
      <c r="L106" s="55" t="str">
        <f t="shared" ca="1" si="10"/>
        <v/>
      </c>
      <c r="M106" s="55" t="str">
        <f t="shared" ca="1" si="19"/>
        <v/>
      </c>
      <c r="N106" s="55" t="str">
        <f t="shared" ca="1" si="11"/>
        <v/>
      </c>
    </row>
    <row r="107" spans="1:14" x14ac:dyDescent="0.3">
      <c r="A107" s="105">
        <v>106</v>
      </c>
      <c r="B107" s="105" t="str">
        <f>VLOOKUP( $A107, Aop!$A$2:$P$453, 2, 0)</f>
        <v>BSp</v>
      </c>
      <c r="C107" s="105">
        <v>26</v>
      </c>
      <c r="D107" s="105" t="str">
        <f t="shared" si="12"/>
        <v>01755633</v>
      </c>
      <c r="E107" s="105" t="str">
        <f t="shared" si="13"/>
        <v>4400228130004</v>
      </c>
      <c r="F107" s="105" t="b">
        <f t="shared" si="14"/>
        <v>0</v>
      </c>
      <c r="G107" s="139">
        <f t="shared" si="15"/>
        <v>44926</v>
      </c>
      <c r="H107" s="105">
        <f>VLOOKUP( $A107, Aop!$A$2:$P$453, 4, 0)</f>
        <v>139</v>
      </c>
      <c r="I107" s="105">
        <f t="shared" si="16"/>
        <v>2022</v>
      </c>
      <c r="J107" s="55" t="str">
        <f t="shared" ca="1" si="20"/>
        <v/>
      </c>
      <c r="K107" s="55"/>
      <c r="L107" s="55" t="str">
        <f t="shared" ca="1" si="10"/>
        <v/>
      </c>
      <c r="M107" s="55" t="str">
        <f t="shared" ca="1" si="19"/>
        <v/>
      </c>
      <c r="N107" s="55" t="str">
        <f t="shared" ca="1" si="11"/>
        <v/>
      </c>
    </row>
    <row r="108" spans="1:14" x14ac:dyDescent="0.3">
      <c r="A108" s="105">
        <v>107</v>
      </c>
      <c r="B108" s="105" t="str">
        <f>VLOOKUP( $A108, Aop!$A$2:$P$453, 2, 0)</f>
        <v>BSp</v>
      </c>
      <c r="C108" s="105">
        <v>26</v>
      </c>
      <c r="D108" s="105" t="str">
        <f t="shared" si="12"/>
        <v>01755633</v>
      </c>
      <c r="E108" s="105" t="str">
        <f t="shared" si="13"/>
        <v>4400228130004</v>
      </c>
      <c r="F108" s="105" t="b">
        <f t="shared" si="14"/>
        <v>0</v>
      </c>
      <c r="G108" s="139">
        <f t="shared" si="15"/>
        <v>44926</v>
      </c>
      <c r="H108" s="105">
        <f>VLOOKUP( $A108, Aop!$A$2:$P$453, 4, 0)</f>
        <v>140</v>
      </c>
      <c r="I108" s="105">
        <f t="shared" si="16"/>
        <v>2022</v>
      </c>
      <c r="J108" s="55" t="str">
        <f t="shared" ca="1" si="20"/>
        <v/>
      </c>
      <c r="K108" s="55"/>
      <c r="L108" s="55" t="str">
        <f t="shared" ca="1" si="10"/>
        <v/>
      </c>
      <c r="M108" s="55" t="str">
        <f t="shared" ca="1" si="19"/>
        <v/>
      </c>
      <c r="N108" s="55" t="str">
        <f t="shared" ca="1" si="11"/>
        <v/>
      </c>
    </row>
    <row r="109" spans="1:14" x14ac:dyDescent="0.3">
      <c r="A109" s="105">
        <v>108</v>
      </c>
      <c r="B109" s="105" t="str">
        <f>VLOOKUP( $A109, Aop!$A$2:$P$453, 2, 0)</f>
        <v>BSp</v>
      </c>
      <c r="C109" s="105">
        <v>26</v>
      </c>
      <c r="D109" s="105" t="str">
        <f t="shared" si="12"/>
        <v>01755633</v>
      </c>
      <c r="E109" s="105" t="str">
        <f t="shared" si="13"/>
        <v>4400228130004</v>
      </c>
      <c r="F109" s="105" t="b">
        <f t="shared" si="14"/>
        <v>0</v>
      </c>
      <c r="G109" s="139">
        <f t="shared" si="15"/>
        <v>44926</v>
      </c>
      <c r="H109" s="105">
        <f>VLOOKUP( $A109, Aop!$A$2:$P$453, 4, 0)</f>
        <v>141</v>
      </c>
      <c r="I109" s="105">
        <f t="shared" si="16"/>
        <v>2022</v>
      </c>
      <c r="J109" s="55" t="str">
        <f t="shared" ca="1" si="20"/>
        <v/>
      </c>
      <c r="K109" s="55"/>
      <c r="L109" s="55" t="str">
        <f t="shared" ca="1" si="10"/>
        <v/>
      </c>
      <c r="M109" s="55" t="str">
        <f t="shared" ca="1" si="19"/>
        <v/>
      </c>
      <c r="N109" s="55" t="str">
        <f t="shared" ca="1" si="11"/>
        <v/>
      </c>
    </row>
    <row r="110" spans="1:14" x14ac:dyDescent="0.3">
      <c r="A110" s="105">
        <v>109</v>
      </c>
      <c r="B110" s="105" t="str">
        <f>VLOOKUP( $A110, Aop!$A$2:$P$453, 2, 0)</f>
        <v>BSp</v>
      </c>
      <c r="C110" s="105">
        <v>26</v>
      </c>
      <c r="D110" s="105" t="str">
        <f t="shared" si="12"/>
        <v>01755633</v>
      </c>
      <c r="E110" s="105" t="str">
        <f t="shared" si="13"/>
        <v>4400228130004</v>
      </c>
      <c r="F110" s="105" t="b">
        <f t="shared" si="14"/>
        <v>0</v>
      </c>
      <c r="G110" s="139">
        <f t="shared" si="15"/>
        <v>44926</v>
      </c>
      <c r="H110" s="105">
        <f>VLOOKUP( $A110, Aop!$A$2:$P$453, 4, 0)</f>
        <v>142</v>
      </c>
      <c r="I110" s="105">
        <f t="shared" si="16"/>
        <v>2022</v>
      </c>
      <c r="J110" s="55" t="str">
        <f t="shared" ca="1" si="20"/>
        <v/>
      </c>
      <c r="K110" s="55"/>
      <c r="L110" s="55" t="str">
        <f t="shared" ca="1" si="10"/>
        <v/>
      </c>
      <c r="M110" s="55" t="str">
        <f t="shared" ca="1" si="19"/>
        <v/>
      </c>
      <c r="N110" s="55" t="str">
        <f t="shared" ca="1" si="11"/>
        <v/>
      </c>
    </row>
    <row r="111" spans="1:14" x14ac:dyDescent="0.3">
      <c r="A111" s="105">
        <v>110</v>
      </c>
      <c r="B111" s="105" t="str">
        <f>VLOOKUP( $A111, Aop!$A$2:$P$453, 2, 0)</f>
        <v>BSp</v>
      </c>
      <c r="C111" s="105">
        <v>26</v>
      </c>
      <c r="D111" s="105" t="str">
        <f t="shared" si="12"/>
        <v>01755633</v>
      </c>
      <c r="E111" s="105" t="str">
        <f t="shared" si="13"/>
        <v>4400228130004</v>
      </c>
      <c r="F111" s="105" t="b">
        <f t="shared" si="14"/>
        <v>0</v>
      </c>
      <c r="G111" s="139">
        <f t="shared" si="15"/>
        <v>44926</v>
      </c>
      <c r="H111" s="105">
        <f>VLOOKUP( $A111, Aop!$A$2:$P$453, 4, 0)</f>
        <v>143</v>
      </c>
      <c r="I111" s="105">
        <f t="shared" si="16"/>
        <v>2022</v>
      </c>
      <c r="J111" s="55" t="str">
        <f t="shared" ca="1" si="20"/>
        <v/>
      </c>
      <c r="K111" s="55"/>
      <c r="L111" s="55" t="str">
        <f t="shared" ca="1" si="10"/>
        <v/>
      </c>
      <c r="M111" s="55" t="str">
        <f t="shared" ca="1" si="19"/>
        <v/>
      </c>
      <c r="N111" s="55" t="str">
        <f t="shared" ca="1" si="11"/>
        <v/>
      </c>
    </row>
    <row r="112" spans="1:14" x14ac:dyDescent="0.3">
      <c r="A112" s="105">
        <v>111</v>
      </c>
      <c r="B112" s="105" t="str">
        <f>VLOOKUP( $A112, Aop!$A$2:$P$453, 2, 0)</f>
        <v>BSp</v>
      </c>
      <c r="C112" s="105">
        <v>26</v>
      </c>
      <c r="D112" s="105" t="str">
        <f t="shared" si="12"/>
        <v>01755633</v>
      </c>
      <c r="E112" s="105" t="str">
        <f t="shared" si="13"/>
        <v>4400228130004</v>
      </c>
      <c r="F112" s="105" t="b">
        <f t="shared" si="14"/>
        <v>0</v>
      </c>
      <c r="G112" s="139">
        <f t="shared" si="15"/>
        <v>44926</v>
      </c>
      <c r="H112" s="105">
        <f>VLOOKUP( $A112, Aop!$A$2:$P$453, 4, 0)</f>
        <v>144</v>
      </c>
      <c r="I112" s="105">
        <f t="shared" si="16"/>
        <v>2022</v>
      </c>
      <c r="J112" s="55" t="str">
        <f t="shared" ca="1" si="20"/>
        <v/>
      </c>
      <c r="K112" s="55"/>
      <c r="L112" s="55" t="str">
        <f t="shared" ca="1" si="10"/>
        <v/>
      </c>
      <c r="M112" s="55" t="str">
        <f t="shared" ca="1" si="19"/>
        <v/>
      </c>
      <c r="N112" s="55" t="str">
        <f t="shared" ca="1" si="11"/>
        <v/>
      </c>
    </row>
    <row r="113" spans="1:14" x14ac:dyDescent="0.3">
      <c r="A113" s="105">
        <v>112</v>
      </c>
      <c r="B113" s="105" t="str">
        <f>VLOOKUP( $A113, Aop!$A$2:$P$453, 2, 0)</f>
        <v>BSp</v>
      </c>
      <c r="C113" s="105">
        <v>26</v>
      </c>
      <c r="D113" s="105" t="str">
        <f t="shared" si="12"/>
        <v>01755633</v>
      </c>
      <c r="E113" s="105" t="str">
        <f t="shared" si="13"/>
        <v>4400228130004</v>
      </c>
      <c r="F113" s="105" t="b">
        <f t="shared" si="14"/>
        <v>0</v>
      </c>
      <c r="G113" s="139">
        <f t="shared" si="15"/>
        <v>44926</v>
      </c>
      <c r="H113" s="105">
        <f>VLOOKUP( $A113, Aop!$A$2:$P$453, 4, 0)</f>
        <v>145</v>
      </c>
      <c r="I113" s="105">
        <f t="shared" si="16"/>
        <v>2022</v>
      </c>
      <c r="J113" s="55" t="str">
        <f t="shared" ca="1" si="20"/>
        <v/>
      </c>
      <c r="K113" s="55"/>
      <c r="L113" s="55" t="str">
        <f t="shared" ca="1" si="10"/>
        <v/>
      </c>
      <c r="M113" s="55" t="str">
        <f t="shared" ca="1" si="19"/>
        <v/>
      </c>
      <c r="N113" s="55" t="str">
        <f t="shared" ca="1" si="11"/>
        <v/>
      </c>
    </row>
    <row r="114" spans="1:14" x14ac:dyDescent="0.3">
      <c r="A114" s="105">
        <v>113</v>
      </c>
      <c r="B114" s="105" t="str">
        <f>VLOOKUP( $A114, Aop!$A$2:$P$453, 2, 0)</f>
        <v>BSp</v>
      </c>
      <c r="C114" s="105">
        <v>26</v>
      </c>
      <c r="D114" s="105" t="str">
        <f t="shared" si="12"/>
        <v>01755633</v>
      </c>
      <c r="E114" s="105" t="str">
        <f t="shared" si="13"/>
        <v>4400228130004</v>
      </c>
      <c r="F114" s="105" t="b">
        <f t="shared" si="14"/>
        <v>0</v>
      </c>
      <c r="G114" s="139">
        <f t="shared" si="15"/>
        <v>44926</v>
      </c>
      <c r="H114" s="105">
        <f>VLOOKUP( $A114, Aop!$A$2:$P$453, 4, 0)</f>
        <v>146</v>
      </c>
      <c r="I114" s="105">
        <f t="shared" si="16"/>
        <v>2022</v>
      </c>
      <c r="J114" s="55" t="str">
        <f t="shared" ca="1" si="20"/>
        <v/>
      </c>
      <c r="K114" s="55"/>
      <c r="L114" s="55" t="str">
        <f t="shared" ca="1" si="10"/>
        <v/>
      </c>
      <c r="M114" s="55" t="str">
        <f t="shared" ca="1" si="19"/>
        <v/>
      </c>
      <c r="N114" s="55" t="str">
        <f t="shared" ca="1" si="11"/>
        <v/>
      </c>
    </row>
    <row r="115" spans="1:14" x14ac:dyDescent="0.3">
      <c r="A115" s="105">
        <v>114</v>
      </c>
      <c r="B115" s="105" t="str">
        <f>VLOOKUP( $A115, Aop!$A$2:$P$453, 2, 0)</f>
        <v>BSp</v>
      </c>
      <c r="C115" s="105">
        <v>26</v>
      </c>
      <c r="D115" s="105" t="str">
        <f t="shared" si="12"/>
        <v>01755633</v>
      </c>
      <c r="E115" s="105" t="str">
        <f t="shared" si="13"/>
        <v>4400228130004</v>
      </c>
      <c r="F115" s="105" t="b">
        <f t="shared" si="14"/>
        <v>0</v>
      </c>
      <c r="G115" s="139">
        <f t="shared" si="15"/>
        <v>44926</v>
      </c>
      <c r="H115" s="105">
        <f>VLOOKUP( $A115, Aop!$A$2:$P$453, 4, 0)</f>
        <v>147</v>
      </c>
      <c r="I115" s="105">
        <f t="shared" si="16"/>
        <v>2022</v>
      </c>
      <c r="J115" s="55">
        <f t="shared" ca="1" si="20"/>
        <v>9</v>
      </c>
      <c r="K115" s="55"/>
      <c r="L115" s="55" t="str">
        <f t="shared" ca="1" si="10"/>
        <v/>
      </c>
      <c r="M115" s="55">
        <f t="shared" ca="1" si="19"/>
        <v>696170</v>
      </c>
      <c r="N115" s="55">
        <f t="shared" ca="1" si="11"/>
        <v>696170</v>
      </c>
    </row>
    <row r="116" spans="1:14" x14ac:dyDescent="0.3">
      <c r="A116" s="105">
        <v>115</v>
      </c>
      <c r="B116" s="105" t="str">
        <f>VLOOKUP( $A116, Aop!$A$2:$P$453, 2, 0)</f>
        <v>BSp</v>
      </c>
      <c r="C116" s="105">
        <v>26</v>
      </c>
      <c r="D116" s="105" t="str">
        <f t="shared" si="12"/>
        <v>01755633</v>
      </c>
      <c r="E116" s="105" t="str">
        <f t="shared" si="13"/>
        <v>4400228130004</v>
      </c>
      <c r="F116" s="105" t="b">
        <f t="shared" si="14"/>
        <v>0</v>
      </c>
      <c r="G116" s="139">
        <f t="shared" si="15"/>
        <v>44926</v>
      </c>
      <c r="H116" s="105">
        <f>VLOOKUP( $A116, Aop!$A$2:$P$453, 4, 0)</f>
        <v>148</v>
      </c>
      <c r="I116" s="105">
        <f t="shared" si="16"/>
        <v>2022</v>
      </c>
      <c r="J116" s="55" t="str">
        <f t="shared" ca="1" si="20"/>
        <v/>
      </c>
      <c r="K116" s="55"/>
      <c r="L116" s="55" t="str">
        <f t="shared" ca="1" si="10"/>
        <v/>
      </c>
      <c r="M116" s="55">
        <f t="shared" ca="1" si="19"/>
        <v>0</v>
      </c>
      <c r="N116" s="55">
        <f t="shared" ca="1" si="11"/>
        <v>0</v>
      </c>
    </row>
    <row r="117" spans="1:14" x14ac:dyDescent="0.3">
      <c r="A117" s="105">
        <v>116</v>
      </c>
      <c r="B117" s="105" t="str">
        <f>VLOOKUP( $A117, Aop!$A$2:$P$453, 2, 0)</f>
        <v>BSp</v>
      </c>
      <c r="C117" s="105">
        <v>26</v>
      </c>
      <c r="D117" s="105" t="str">
        <f t="shared" si="12"/>
        <v>01755633</v>
      </c>
      <c r="E117" s="105" t="str">
        <f t="shared" si="13"/>
        <v>4400228130004</v>
      </c>
      <c r="F117" s="105" t="b">
        <f t="shared" si="14"/>
        <v>0</v>
      </c>
      <c r="G117" s="139">
        <f t="shared" si="15"/>
        <v>44926</v>
      </c>
      <c r="H117" s="105">
        <f>VLOOKUP( $A117, Aop!$A$2:$P$453, 4, 0)</f>
        <v>149</v>
      </c>
      <c r="I117" s="105">
        <f t="shared" si="16"/>
        <v>2022</v>
      </c>
      <c r="J117" s="55" t="str">
        <f t="shared" ca="1" si="20"/>
        <v/>
      </c>
      <c r="K117" s="55"/>
      <c r="L117" s="55" t="str">
        <f t="shared" ca="1" si="10"/>
        <v/>
      </c>
      <c r="M117" s="55" t="str">
        <f t="shared" ca="1" si="19"/>
        <v/>
      </c>
      <c r="N117" s="55" t="str">
        <f t="shared" ca="1" si="11"/>
        <v/>
      </c>
    </row>
    <row r="118" spans="1:14" x14ac:dyDescent="0.3">
      <c r="A118" s="105">
        <v>117</v>
      </c>
      <c r="B118" s="105" t="str">
        <f>VLOOKUP( $A118, Aop!$A$2:$P$453, 2, 0)</f>
        <v>BSp</v>
      </c>
      <c r="C118" s="105">
        <v>26</v>
      </c>
      <c r="D118" s="105" t="str">
        <f t="shared" si="12"/>
        <v>01755633</v>
      </c>
      <c r="E118" s="105" t="str">
        <f t="shared" si="13"/>
        <v>4400228130004</v>
      </c>
      <c r="F118" s="105" t="b">
        <f t="shared" si="14"/>
        <v>0</v>
      </c>
      <c r="G118" s="139">
        <f t="shared" si="15"/>
        <v>44926</v>
      </c>
      <c r="H118" s="105">
        <f>VLOOKUP( $A118, Aop!$A$2:$P$453, 4, 0)</f>
        <v>150</v>
      </c>
      <c r="I118" s="105">
        <f t="shared" si="16"/>
        <v>2022</v>
      </c>
      <c r="J118" s="55" t="str">
        <f t="shared" ca="1" si="20"/>
        <v/>
      </c>
      <c r="K118" s="55"/>
      <c r="L118" s="55" t="str">
        <f t="shared" ca="1" si="10"/>
        <v/>
      </c>
      <c r="M118" s="55" t="str">
        <f t="shared" ca="1" si="19"/>
        <v/>
      </c>
      <c r="N118" s="55" t="str">
        <f t="shared" ca="1" si="11"/>
        <v/>
      </c>
    </row>
    <row r="119" spans="1:14" x14ac:dyDescent="0.3">
      <c r="A119" s="105">
        <v>118</v>
      </c>
      <c r="B119" s="105" t="str">
        <f>VLOOKUP( $A119, Aop!$A$2:$P$453, 2, 0)</f>
        <v>BSp</v>
      </c>
      <c r="C119" s="105">
        <v>26</v>
      </c>
      <c r="D119" s="105" t="str">
        <f t="shared" si="12"/>
        <v>01755633</v>
      </c>
      <c r="E119" s="105" t="str">
        <f t="shared" si="13"/>
        <v>4400228130004</v>
      </c>
      <c r="F119" s="105" t="b">
        <f t="shared" si="14"/>
        <v>0</v>
      </c>
      <c r="G119" s="139">
        <f t="shared" si="15"/>
        <v>44926</v>
      </c>
      <c r="H119" s="105">
        <f>VLOOKUP( $A119, Aop!$A$2:$P$453, 4, 0)</f>
        <v>151</v>
      </c>
      <c r="I119" s="105">
        <f t="shared" si="16"/>
        <v>2022</v>
      </c>
      <c r="J119" s="55" t="str">
        <f t="shared" ca="1" si="20"/>
        <v/>
      </c>
      <c r="K119" s="55"/>
      <c r="L119" s="55" t="str">
        <f t="shared" ca="1" si="10"/>
        <v/>
      </c>
      <c r="M119" s="55" t="str">
        <f t="shared" ca="1" si="19"/>
        <v/>
      </c>
      <c r="N119" s="55" t="str">
        <f t="shared" ca="1" si="11"/>
        <v/>
      </c>
    </row>
    <row r="120" spans="1:14" x14ac:dyDescent="0.3">
      <c r="A120" s="105">
        <v>119</v>
      </c>
      <c r="B120" s="105" t="str">
        <f>VLOOKUP( $A120, Aop!$A$2:$P$453, 2, 0)</f>
        <v>BSp</v>
      </c>
      <c r="C120" s="105">
        <v>26</v>
      </c>
      <c r="D120" s="105" t="str">
        <f t="shared" si="12"/>
        <v>01755633</v>
      </c>
      <c r="E120" s="105" t="str">
        <f t="shared" si="13"/>
        <v>4400228130004</v>
      </c>
      <c r="F120" s="105" t="b">
        <f t="shared" si="14"/>
        <v>0</v>
      </c>
      <c r="G120" s="139">
        <f t="shared" si="15"/>
        <v>44926</v>
      </c>
      <c r="H120" s="105">
        <f>VLOOKUP( $A120, Aop!$A$2:$P$453, 4, 0)</f>
        <v>152</v>
      </c>
      <c r="I120" s="105">
        <f t="shared" si="16"/>
        <v>2022</v>
      </c>
      <c r="J120" s="55" t="str">
        <f t="shared" ca="1" si="20"/>
        <v/>
      </c>
      <c r="K120" s="55"/>
      <c r="L120" s="55" t="str">
        <f t="shared" ca="1" si="10"/>
        <v/>
      </c>
      <c r="M120" s="55" t="str">
        <f t="shared" ca="1" si="19"/>
        <v/>
      </c>
      <c r="N120" s="55" t="str">
        <f t="shared" ca="1" si="11"/>
        <v/>
      </c>
    </row>
    <row r="121" spans="1:14" x14ac:dyDescent="0.3">
      <c r="A121" s="105">
        <v>120</v>
      </c>
      <c r="B121" s="105" t="str">
        <f>VLOOKUP( $A121, Aop!$A$2:$P$453, 2, 0)</f>
        <v>BSp</v>
      </c>
      <c r="C121" s="105">
        <v>26</v>
      </c>
      <c r="D121" s="105" t="str">
        <f t="shared" si="12"/>
        <v>01755633</v>
      </c>
      <c r="E121" s="105" t="str">
        <f t="shared" si="13"/>
        <v>4400228130004</v>
      </c>
      <c r="F121" s="105" t="b">
        <f t="shared" si="14"/>
        <v>0</v>
      </c>
      <c r="G121" s="139">
        <f t="shared" si="15"/>
        <v>44926</v>
      </c>
      <c r="H121" s="105">
        <f>VLOOKUP( $A121, Aop!$A$2:$P$453, 4, 0)</f>
        <v>153</v>
      </c>
      <c r="I121" s="105">
        <f t="shared" si="16"/>
        <v>2022</v>
      </c>
      <c r="J121" s="55" t="str">
        <f t="shared" ca="1" si="20"/>
        <v/>
      </c>
      <c r="K121" s="55"/>
      <c r="L121" s="55" t="str">
        <f t="shared" ca="1" si="10"/>
        <v/>
      </c>
      <c r="M121" s="55" t="str">
        <f t="shared" ca="1" si="19"/>
        <v/>
      </c>
      <c r="N121" s="55" t="str">
        <f t="shared" ca="1" si="11"/>
        <v/>
      </c>
    </row>
    <row r="122" spans="1:14" x14ac:dyDescent="0.3">
      <c r="A122" s="105">
        <v>121</v>
      </c>
      <c r="B122" s="105" t="str">
        <f>VLOOKUP( $A122, Aop!$A$2:$P$453, 2, 0)</f>
        <v>BSp</v>
      </c>
      <c r="C122" s="105">
        <v>26</v>
      </c>
      <c r="D122" s="105" t="str">
        <f t="shared" si="12"/>
        <v>01755633</v>
      </c>
      <c r="E122" s="105" t="str">
        <f t="shared" si="13"/>
        <v>4400228130004</v>
      </c>
      <c r="F122" s="105" t="b">
        <f t="shared" si="14"/>
        <v>0</v>
      </c>
      <c r="G122" s="139">
        <f t="shared" si="15"/>
        <v>44926</v>
      </c>
      <c r="H122" s="105">
        <f>VLOOKUP( $A122, Aop!$A$2:$P$453, 4, 0)</f>
        <v>154</v>
      </c>
      <c r="I122" s="105">
        <f t="shared" si="16"/>
        <v>2022</v>
      </c>
      <c r="J122" s="55" t="str">
        <f t="shared" ca="1" si="20"/>
        <v/>
      </c>
      <c r="K122" s="55"/>
      <c r="L122" s="55" t="str">
        <f t="shared" ca="1" si="10"/>
        <v/>
      </c>
      <c r="M122" s="55" t="str">
        <f t="shared" ca="1" si="19"/>
        <v/>
      </c>
      <c r="N122" s="55" t="str">
        <f t="shared" ca="1" si="11"/>
        <v/>
      </c>
    </row>
    <row r="123" spans="1:14" x14ac:dyDescent="0.3">
      <c r="A123" s="105">
        <v>122</v>
      </c>
      <c r="B123" s="105" t="str">
        <f>VLOOKUP( $A123, Aop!$A$2:$P$453, 2, 0)</f>
        <v>BSp</v>
      </c>
      <c r="C123" s="105">
        <v>26</v>
      </c>
      <c r="D123" s="105" t="str">
        <f t="shared" si="12"/>
        <v>01755633</v>
      </c>
      <c r="E123" s="105" t="str">
        <f t="shared" si="13"/>
        <v>4400228130004</v>
      </c>
      <c r="F123" s="105" t="b">
        <f t="shared" si="14"/>
        <v>0</v>
      </c>
      <c r="G123" s="139">
        <f t="shared" si="15"/>
        <v>44926</v>
      </c>
      <c r="H123" s="105">
        <f>VLOOKUP( $A123, Aop!$A$2:$P$453, 4, 0)</f>
        <v>155</v>
      </c>
      <c r="I123" s="105">
        <f t="shared" si="16"/>
        <v>2022</v>
      </c>
      <c r="J123" s="55" t="str">
        <f t="shared" ca="1" si="20"/>
        <v/>
      </c>
      <c r="K123" s="55"/>
      <c r="L123" s="55" t="str">
        <f t="shared" ca="1" si="10"/>
        <v/>
      </c>
      <c r="M123" s="55">
        <f t="shared" ca="1" si="19"/>
        <v>643753</v>
      </c>
      <c r="N123" s="55">
        <f t="shared" ca="1" si="11"/>
        <v>643753</v>
      </c>
    </row>
    <row r="124" spans="1:14" x14ac:dyDescent="0.3">
      <c r="A124" s="105">
        <v>123</v>
      </c>
      <c r="B124" s="105" t="str">
        <f>VLOOKUP( $A124, Aop!$A$2:$P$453, 2, 0)</f>
        <v>BSp</v>
      </c>
      <c r="C124" s="105">
        <v>26</v>
      </c>
      <c r="D124" s="105" t="str">
        <f t="shared" si="12"/>
        <v>01755633</v>
      </c>
      <c r="E124" s="105" t="str">
        <f t="shared" si="13"/>
        <v>4400228130004</v>
      </c>
      <c r="F124" s="105" t="b">
        <f t="shared" si="14"/>
        <v>0</v>
      </c>
      <c r="G124" s="139">
        <f t="shared" si="15"/>
        <v>44926</v>
      </c>
      <c r="H124" s="105">
        <f>VLOOKUP( $A124, Aop!$A$2:$P$453, 4, 0)</f>
        <v>156</v>
      </c>
      <c r="I124" s="105">
        <f t="shared" si="16"/>
        <v>2022</v>
      </c>
      <c r="J124" s="55" t="str">
        <f t="shared" ca="1" si="20"/>
        <v/>
      </c>
      <c r="K124" s="55"/>
      <c r="L124" s="55" t="str">
        <f t="shared" ca="1" si="10"/>
        <v/>
      </c>
      <c r="M124" s="55">
        <f t="shared" ca="1" si="19"/>
        <v>29068</v>
      </c>
      <c r="N124" s="55">
        <f t="shared" ca="1" si="11"/>
        <v>29068</v>
      </c>
    </row>
    <row r="125" spans="1:14" x14ac:dyDescent="0.3">
      <c r="A125" s="105">
        <v>124</v>
      </c>
      <c r="B125" s="105" t="str">
        <f>VLOOKUP( $A125, Aop!$A$2:$P$453, 2, 0)</f>
        <v>BSp</v>
      </c>
      <c r="C125" s="105">
        <v>26</v>
      </c>
      <c r="D125" s="105" t="str">
        <f t="shared" si="12"/>
        <v>01755633</v>
      </c>
      <c r="E125" s="105" t="str">
        <f t="shared" si="13"/>
        <v>4400228130004</v>
      </c>
      <c r="F125" s="105" t="b">
        <f t="shared" si="14"/>
        <v>0</v>
      </c>
      <c r="G125" s="139">
        <f t="shared" si="15"/>
        <v>44926</v>
      </c>
      <c r="H125" s="105">
        <f>VLOOKUP( $A125, Aop!$A$2:$P$453, 4, 0)</f>
        <v>157</v>
      </c>
      <c r="I125" s="105">
        <f t="shared" si="16"/>
        <v>2022</v>
      </c>
      <c r="J125" s="55" t="str">
        <f t="shared" ca="1" si="20"/>
        <v/>
      </c>
      <c r="K125" s="55"/>
      <c r="L125" s="55" t="str">
        <f t="shared" ca="1" si="10"/>
        <v/>
      </c>
      <c r="M125" s="55">
        <f t="shared" ca="1" si="19"/>
        <v>549344</v>
      </c>
      <c r="N125" s="55">
        <f t="shared" ca="1" si="11"/>
        <v>549344</v>
      </c>
    </row>
    <row r="126" spans="1:14" x14ac:dyDescent="0.3">
      <c r="A126" s="105">
        <v>125</v>
      </c>
      <c r="B126" s="105" t="str">
        <f>VLOOKUP( $A126, Aop!$A$2:$P$453, 2, 0)</f>
        <v>BSp</v>
      </c>
      <c r="C126" s="105">
        <v>26</v>
      </c>
      <c r="D126" s="105" t="str">
        <f t="shared" si="12"/>
        <v>01755633</v>
      </c>
      <c r="E126" s="105" t="str">
        <f t="shared" si="13"/>
        <v>4400228130004</v>
      </c>
      <c r="F126" s="105" t="b">
        <f t="shared" si="14"/>
        <v>0</v>
      </c>
      <c r="G126" s="139">
        <f t="shared" si="15"/>
        <v>44926</v>
      </c>
      <c r="H126" s="105">
        <f>VLOOKUP( $A126, Aop!$A$2:$P$453, 4, 0)</f>
        <v>158</v>
      </c>
      <c r="I126" s="105">
        <f t="shared" si="16"/>
        <v>2022</v>
      </c>
      <c r="J126" s="55" t="str">
        <f t="shared" ca="1" si="20"/>
        <v/>
      </c>
      <c r="K126" s="55"/>
      <c r="L126" s="55" t="str">
        <f t="shared" ca="1" si="10"/>
        <v/>
      </c>
      <c r="M126" s="55">
        <f t="shared" ca="1" si="19"/>
        <v>65341</v>
      </c>
      <c r="N126" s="55">
        <f t="shared" ca="1" si="11"/>
        <v>65341</v>
      </c>
    </row>
    <row r="127" spans="1:14" x14ac:dyDescent="0.3">
      <c r="A127" s="105">
        <v>126</v>
      </c>
      <c r="B127" s="105" t="str">
        <f>VLOOKUP( $A127, Aop!$A$2:$P$453, 2, 0)</f>
        <v>BSp</v>
      </c>
      <c r="C127" s="105">
        <v>26</v>
      </c>
      <c r="D127" s="105" t="str">
        <f t="shared" si="12"/>
        <v>01755633</v>
      </c>
      <c r="E127" s="105" t="str">
        <f t="shared" si="13"/>
        <v>4400228130004</v>
      </c>
      <c r="F127" s="105" t="b">
        <f t="shared" si="14"/>
        <v>0</v>
      </c>
      <c r="G127" s="139">
        <f t="shared" si="15"/>
        <v>44926</v>
      </c>
      <c r="H127" s="105">
        <f>VLOOKUP( $A127, Aop!$A$2:$P$453, 4, 0)</f>
        <v>159</v>
      </c>
      <c r="I127" s="105">
        <f t="shared" si="16"/>
        <v>2022</v>
      </c>
      <c r="J127" s="55" t="str">
        <f t="shared" ca="1" si="20"/>
        <v/>
      </c>
      <c r="K127" s="55"/>
      <c r="L127" s="55" t="str">
        <f t="shared" ca="1" si="10"/>
        <v/>
      </c>
      <c r="M127" s="55" t="str">
        <f t="shared" ca="1" si="19"/>
        <v/>
      </c>
      <c r="N127" s="55" t="str">
        <f t="shared" ca="1" si="11"/>
        <v/>
      </c>
    </row>
    <row r="128" spans="1:14" x14ac:dyDescent="0.3">
      <c r="A128" s="105">
        <v>127</v>
      </c>
      <c r="B128" s="105" t="str">
        <f>VLOOKUP( $A128, Aop!$A$2:$P$453, 2, 0)</f>
        <v>BSp</v>
      </c>
      <c r="C128" s="105">
        <v>26</v>
      </c>
      <c r="D128" s="105" t="str">
        <f t="shared" si="12"/>
        <v>01755633</v>
      </c>
      <c r="E128" s="105" t="str">
        <f t="shared" si="13"/>
        <v>4400228130004</v>
      </c>
      <c r="F128" s="105" t="b">
        <f t="shared" si="14"/>
        <v>0</v>
      </c>
      <c r="G128" s="139">
        <f t="shared" si="15"/>
        <v>44926</v>
      </c>
      <c r="H128" s="105">
        <f>VLOOKUP( $A128, Aop!$A$2:$P$453, 4, 0)</f>
        <v>160</v>
      </c>
      <c r="I128" s="105">
        <f t="shared" si="16"/>
        <v>2022</v>
      </c>
      <c r="J128" s="55" t="str">
        <f t="shared" ca="1" si="20"/>
        <v/>
      </c>
      <c r="K128" s="55"/>
      <c r="L128" s="55" t="str">
        <f t="shared" ca="1" si="10"/>
        <v/>
      </c>
      <c r="M128" s="55" t="str">
        <f t="shared" ca="1" si="19"/>
        <v/>
      </c>
      <c r="N128" s="55" t="str">
        <f t="shared" ca="1" si="11"/>
        <v/>
      </c>
    </row>
    <row r="129" spans="1:14" x14ac:dyDescent="0.3">
      <c r="A129" s="105">
        <v>128</v>
      </c>
      <c r="B129" s="105" t="str">
        <f>VLOOKUP( $A129, Aop!$A$2:$P$453, 2, 0)</f>
        <v>BSp</v>
      </c>
      <c r="C129" s="105">
        <v>26</v>
      </c>
      <c r="D129" s="105" t="str">
        <f t="shared" si="12"/>
        <v>01755633</v>
      </c>
      <c r="E129" s="105" t="str">
        <f t="shared" si="13"/>
        <v>4400228130004</v>
      </c>
      <c r="F129" s="105" t="b">
        <f t="shared" si="14"/>
        <v>0</v>
      </c>
      <c r="G129" s="139">
        <f t="shared" si="15"/>
        <v>44926</v>
      </c>
      <c r="H129" s="105">
        <f>VLOOKUP( $A129, Aop!$A$2:$P$453, 4, 0)</f>
        <v>161</v>
      </c>
      <c r="I129" s="105">
        <f t="shared" si="16"/>
        <v>2022</v>
      </c>
      <c r="J129" s="55" t="str">
        <f t="shared" ca="1" si="20"/>
        <v/>
      </c>
      <c r="K129" s="55"/>
      <c r="L129" s="55" t="str">
        <f t="shared" ca="1" si="10"/>
        <v/>
      </c>
      <c r="M129" s="55" t="str">
        <f t="shared" ca="1" si="19"/>
        <v/>
      </c>
      <c r="N129" s="55" t="str">
        <f t="shared" ca="1" si="11"/>
        <v/>
      </c>
    </row>
    <row r="130" spans="1:14" x14ac:dyDescent="0.3">
      <c r="A130" s="105">
        <v>129</v>
      </c>
      <c r="B130" s="55" t="str">
        <f>VLOOKUP( $A130, Aop!$A$2:$P$453, 2, 0)</f>
        <v>BSp</v>
      </c>
      <c r="C130" s="105">
        <v>26</v>
      </c>
      <c r="D130" s="55" t="str">
        <f>Podatak_MB</f>
        <v>01755633</v>
      </c>
      <c r="E130" s="55" t="str">
        <f>Podatak_JIB</f>
        <v>4400228130004</v>
      </c>
      <c r="F130" s="55" t="b">
        <f>Konsolidovan_izvjestaj</f>
        <v>0</v>
      </c>
      <c r="G130" s="139">
        <f>Datum_Broj</f>
        <v>44926</v>
      </c>
      <c r="H130" s="55">
        <f>VLOOKUP( $A130, Aop!$A$2:$P$453, 4, 0)</f>
        <v>162</v>
      </c>
      <c r="I130" s="55">
        <f>Godina</f>
        <v>2022</v>
      </c>
      <c r="J130" s="55" t="str">
        <f t="shared" ca="1" si="20"/>
        <v/>
      </c>
      <c r="K130" s="55"/>
      <c r="L130" s="55" t="str">
        <f t="shared" ca="1" si="10"/>
        <v/>
      </c>
      <c r="M130" s="55">
        <f t="shared" ca="1" si="19"/>
        <v>37567</v>
      </c>
      <c r="N130" s="55">
        <f t="shared" ref="N130:N193" ca="1" si="21">IF( VLOOKUP( $H130, INDIRECT( "Lookup_" &amp; $B130), IF( LEFT( $B130, 2) = "BS", S$2, S$1), 0) = "", "", VLOOKUP( $H130, INDIRECT( "Lookup_" &amp; $B130), IF( LEFT( $B130, 2) = "BS", S$2, S$1), 0))</f>
        <v>37567</v>
      </c>
    </row>
    <row r="131" spans="1:14" x14ac:dyDescent="0.3">
      <c r="A131" s="105">
        <v>130</v>
      </c>
      <c r="B131" s="105" t="str">
        <f>VLOOKUP( $A131, Aop!$A$2:$P$453, 2, 0)</f>
        <v>BSp</v>
      </c>
      <c r="C131" s="105">
        <v>26</v>
      </c>
      <c r="D131" s="55" t="str">
        <f t="shared" ref="D131:D190" si="22">Podatak_MB</f>
        <v>01755633</v>
      </c>
      <c r="E131" s="55" t="str">
        <f t="shared" ref="E131:E190" si="23">Podatak_JIB</f>
        <v>4400228130004</v>
      </c>
      <c r="F131" s="55" t="b">
        <f t="shared" si="14"/>
        <v>0</v>
      </c>
      <c r="G131" s="139">
        <f t="shared" si="15"/>
        <v>44926</v>
      </c>
      <c r="H131" s="105">
        <f>VLOOKUP( $A131, Aop!$A$2:$P$453, 4, 0)</f>
        <v>163</v>
      </c>
      <c r="I131" s="55">
        <f t="shared" ref="I131:I190" si="24">Godina</f>
        <v>2022</v>
      </c>
      <c r="J131" s="55" t="str">
        <f t="shared" ca="1" si="20"/>
        <v/>
      </c>
      <c r="K131" s="55"/>
      <c r="L131" s="55" t="str">
        <f t="shared" ca="1" si="10"/>
        <v/>
      </c>
      <c r="M131" s="55">
        <f t="shared" ca="1" si="19"/>
        <v>1635</v>
      </c>
      <c r="N131" s="55">
        <f t="shared" ca="1" si="21"/>
        <v>1635</v>
      </c>
    </row>
    <row r="132" spans="1:14" x14ac:dyDescent="0.3">
      <c r="A132" s="105">
        <v>131</v>
      </c>
      <c r="B132" s="105" t="str">
        <f>VLOOKUP( $A132, Aop!$A$2:$P$453, 2, 0)</f>
        <v>BSp</v>
      </c>
      <c r="C132" s="105">
        <v>26</v>
      </c>
      <c r="D132" s="55" t="str">
        <f t="shared" si="22"/>
        <v>01755633</v>
      </c>
      <c r="E132" s="55" t="str">
        <f t="shared" si="23"/>
        <v>4400228130004</v>
      </c>
      <c r="F132" s="55" t="b">
        <f t="shared" ref="F132:F191" si="25">Konsolidovan_izvjestaj</f>
        <v>0</v>
      </c>
      <c r="G132" s="139">
        <f t="shared" ref="G132:G191" si="26">Datum_Broj</f>
        <v>44926</v>
      </c>
      <c r="H132" s="105">
        <f>VLOOKUP( $A132, Aop!$A$2:$P$453, 4, 0)</f>
        <v>164</v>
      </c>
      <c r="I132" s="55">
        <f t="shared" si="24"/>
        <v>2022</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5275</v>
      </c>
      <c r="N132" s="55">
        <f t="shared" ca="1" si="21"/>
        <v>5275</v>
      </c>
    </row>
    <row r="133" spans="1:14" x14ac:dyDescent="0.3">
      <c r="A133" s="105">
        <v>132</v>
      </c>
      <c r="B133" s="105" t="str">
        <f>VLOOKUP( $A133, Aop!$A$2:$P$453, 2, 0)</f>
        <v>BSp</v>
      </c>
      <c r="C133" s="105">
        <v>26</v>
      </c>
      <c r="D133" s="55" t="str">
        <f t="shared" si="22"/>
        <v>01755633</v>
      </c>
      <c r="E133" s="55" t="str">
        <f t="shared" si="23"/>
        <v>4400228130004</v>
      </c>
      <c r="F133" s="55" t="b">
        <f t="shared" si="25"/>
        <v>0</v>
      </c>
      <c r="G133" s="139">
        <f t="shared" si="26"/>
        <v>44926</v>
      </c>
      <c r="H133" s="105">
        <f>VLOOKUP( $A133, Aop!$A$2:$P$453, 4, 0)</f>
        <v>165</v>
      </c>
      <c r="I133" s="55">
        <f t="shared" si="24"/>
        <v>2022</v>
      </c>
      <c r="J133" s="55" t="str">
        <f t="shared" ca="1" si="20"/>
        <v/>
      </c>
      <c r="K133" s="55"/>
      <c r="L133" s="55" t="str">
        <f ca="1">IF( VLOOKUP( $H133, INDIRECT( "Lookup_" &amp; $B133), IF( LEFT( $B133, 2) = "BS", R$2, R$1), 0) = "", "", VLOOKUP( $H133, INDIRECT( "Lookup_" &amp; $B133), IF( $B133 = "BSa", R$2, R$1), 0))</f>
        <v/>
      </c>
      <c r="M133" s="55">
        <f t="shared" ca="1" si="27"/>
        <v>7940</v>
      </c>
      <c r="N133" s="55">
        <f t="shared" ca="1" si="21"/>
        <v>7940</v>
      </c>
    </row>
    <row r="134" spans="1:14" x14ac:dyDescent="0.3">
      <c r="A134" s="105">
        <v>133</v>
      </c>
      <c r="B134" s="105" t="str">
        <f>VLOOKUP( $A134, Aop!$A$2:$P$453, 2, 0)</f>
        <v>BSp</v>
      </c>
      <c r="C134" s="105">
        <v>26</v>
      </c>
      <c r="D134" s="55" t="str">
        <f t="shared" si="22"/>
        <v>01755633</v>
      </c>
      <c r="E134" s="55" t="str">
        <f t="shared" si="23"/>
        <v>4400228130004</v>
      </c>
      <c r="F134" s="55" t="b">
        <f t="shared" si="25"/>
        <v>0</v>
      </c>
      <c r="G134" s="139">
        <f t="shared" si="26"/>
        <v>44926</v>
      </c>
      <c r="H134" s="105">
        <f>VLOOKUP( $A134, Aop!$A$2:$P$453, 4, 0)</f>
        <v>166</v>
      </c>
      <c r="I134" s="55">
        <f t="shared" si="24"/>
        <v>2022</v>
      </c>
      <c r="J134" s="55" t="str">
        <f t="shared" ca="1" si="20"/>
        <v/>
      </c>
      <c r="K134" s="55"/>
      <c r="L134" s="55" t="str">
        <f ca="1">IF( VLOOKUP( $H134, INDIRECT( "Lookup_" &amp; $B134), IF( LEFT( $B134, 2) = "BS", R$2, R$1), 0) = "", "", VLOOKUP( $H134, INDIRECT( "Lookup_" &amp; $B134), IF( $B134 = "BSa", R$2, R$1), 0))</f>
        <v/>
      </c>
      <c r="M134" s="55">
        <f t="shared" ca="1" si="27"/>
        <v>0</v>
      </c>
      <c r="N134" s="55">
        <f t="shared" ca="1" si="21"/>
        <v>0</v>
      </c>
    </row>
    <row r="135" spans="1:14" x14ac:dyDescent="0.3">
      <c r="A135" s="105">
        <v>134</v>
      </c>
      <c r="B135" s="105" t="str">
        <f>VLOOKUP( $A135, Aop!$A$2:$P$453, 2, 0)</f>
        <v>BSp</v>
      </c>
      <c r="C135" s="105">
        <v>26</v>
      </c>
      <c r="D135" s="55" t="str">
        <f t="shared" si="22"/>
        <v>01755633</v>
      </c>
      <c r="E135" s="55" t="str">
        <f t="shared" si="23"/>
        <v>4400228130004</v>
      </c>
      <c r="F135" s="55" t="b">
        <f t="shared" si="25"/>
        <v>0</v>
      </c>
      <c r="G135" s="139">
        <f t="shared" si="26"/>
        <v>44926</v>
      </c>
      <c r="H135" s="105">
        <f>VLOOKUP( $A135, Aop!$A$2:$P$453, 4, 0)</f>
        <v>167</v>
      </c>
      <c r="I135" s="55">
        <f t="shared" si="24"/>
        <v>2022</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3">
      <c r="A136" s="105">
        <v>136</v>
      </c>
      <c r="B136" s="105" t="str">
        <f>VLOOKUP( $A136, Aop!$A$2:$P$453, 2, 0)</f>
        <v>BSp</v>
      </c>
      <c r="C136" s="105">
        <v>26</v>
      </c>
      <c r="D136" s="55" t="str">
        <f t="shared" si="22"/>
        <v>01755633</v>
      </c>
      <c r="E136" s="55" t="str">
        <f t="shared" si="23"/>
        <v>4400228130004</v>
      </c>
      <c r="F136" s="55" t="b">
        <f t="shared" si="25"/>
        <v>0</v>
      </c>
      <c r="G136" s="139">
        <f t="shared" si="26"/>
        <v>44926</v>
      </c>
      <c r="H136" s="105">
        <f>VLOOKUP( $A136, Aop!$A$2:$P$453, 4, 0)</f>
        <v>0</v>
      </c>
      <c r="I136" s="55">
        <f t="shared" si="24"/>
        <v>2022</v>
      </c>
      <c r="J136" s="55" t="str">
        <f t="shared" ca="1" si="28"/>
        <v/>
      </c>
      <c r="K136" s="55"/>
      <c r="L136" s="55"/>
      <c r="M136" s="55" t="str">
        <f t="shared" ca="1" si="27"/>
        <v/>
      </c>
      <c r="N136" s="55" t="str">
        <f t="shared" ca="1" si="21"/>
        <v/>
      </c>
    </row>
    <row r="137" spans="1:14" x14ac:dyDescent="0.3">
      <c r="A137" s="105">
        <v>137</v>
      </c>
      <c r="B137" s="105" t="str">
        <f>VLOOKUP( $A137, Aop!$A$2:$P$453, 2, 0)</f>
        <v>BSp</v>
      </c>
      <c r="C137" s="105">
        <v>26</v>
      </c>
      <c r="D137" s="55" t="str">
        <f t="shared" si="22"/>
        <v>01755633</v>
      </c>
      <c r="E137" s="55" t="str">
        <f t="shared" si="23"/>
        <v>4400228130004</v>
      </c>
      <c r="F137" s="55" t="b">
        <f t="shared" si="25"/>
        <v>0</v>
      </c>
      <c r="G137" s="139">
        <f t="shared" si="26"/>
        <v>44926</v>
      </c>
      <c r="H137" s="105">
        <f>VLOOKUP( $A137, Aop!$A$2:$P$453, 4, 0)</f>
        <v>169</v>
      </c>
      <c r="I137" s="55">
        <f t="shared" si="24"/>
        <v>2022</v>
      </c>
      <c r="J137" s="55" t="str">
        <f t="shared" ca="1" si="28"/>
        <v/>
      </c>
      <c r="K137" s="55"/>
      <c r="L137" s="55"/>
      <c r="M137" s="55">
        <f t="shared" ca="1" si="27"/>
        <v>5421596</v>
      </c>
      <c r="N137" s="55">
        <f t="shared" ca="1" si="21"/>
        <v>5421596</v>
      </c>
    </row>
    <row r="138" spans="1:14" x14ac:dyDescent="0.3">
      <c r="A138" s="105">
        <v>138</v>
      </c>
      <c r="B138" s="105" t="str">
        <f>VLOOKUP( $A138, Aop!$A$2:$P$453, 2, 0)</f>
        <v>BSp</v>
      </c>
      <c r="C138" s="105">
        <v>27</v>
      </c>
      <c r="D138" s="55" t="str">
        <f t="shared" si="22"/>
        <v>01755633</v>
      </c>
      <c r="E138" s="55" t="str">
        <f t="shared" si="23"/>
        <v>4400228130004</v>
      </c>
      <c r="F138" s="55" t="b">
        <f t="shared" si="25"/>
        <v>0</v>
      </c>
      <c r="G138" s="139">
        <f t="shared" si="26"/>
        <v>44926</v>
      </c>
      <c r="H138" s="105">
        <f>VLOOKUP( $A138, Aop!$A$2:$P$453, 4, 0)</f>
        <v>170</v>
      </c>
      <c r="I138" s="55">
        <f t="shared" si="24"/>
        <v>2022</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3">
      <c r="A139" s="105">
        <v>139</v>
      </c>
      <c r="B139" s="105" t="str">
        <f>VLOOKUP( $A139, Aop!$A$2:$P$453, 2, 0)</f>
        <v>BUa</v>
      </c>
      <c r="C139" s="55">
        <v>27</v>
      </c>
      <c r="D139" s="55" t="str">
        <f t="shared" si="22"/>
        <v>01755633</v>
      </c>
      <c r="E139" s="55" t="str">
        <f t="shared" si="23"/>
        <v>4400228130004</v>
      </c>
      <c r="F139" s="55" t="b">
        <f t="shared" si="25"/>
        <v>0</v>
      </c>
      <c r="G139" s="139">
        <f t="shared" si="26"/>
        <v>44926</v>
      </c>
      <c r="H139" s="105">
        <f>VLOOKUP( $A139, Aop!$A$2:$P$453, 4, 0)</f>
        <v>201</v>
      </c>
      <c r="I139" s="55">
        <f t="shared" si="24"/>
        <v>2022</v>
      </c>
      <c r="J139" s="55">
        <f ca="1">IF( VLOOKUP( $H139, INDIRECT( "Lookup_" &amp; $B139), IF( LEFT( $B139, 2) = "BS", R$2, R$1), 0) = "", "", VLOOKUP( $H139, INDIRECT( "Lookup_" &amp; $B139), IF( $B139 = "BSp", R$2, R$1), 0))</f>
        <v>10</v>
      </c>
      <c r="K139" s="55"/>
      <c r="L139" s="55"/>
      <c r="M139" s="55">
        <f t="shared" ca="1" si="29"/>
        <v>4027723</v>
      </c>
      <c r="N139" s="55">
        <f t="shared" ca="1" si="21"/>
        <v>4027723</v>
      </c>
    </row>
    <row r="140" spans="1:14" x14ac:dyDescent="0.3">
      <c r="A140" s="105">
        <v>140</v>
      </c>
      <c r="B140" s="105" t="str">
        <f>VLOOKUP( $A140, Aop!$A$2:$P$453, 2, 0)</f>
        <v>BUa</v>
      </c>
      <c r="C140" s="55">
        <v>27</v>
      </c>
      <c r="D140" s="55" t="str">
        <f t="shared" si="22"/>
        <v>01755633</v>
      </c>
      <c r="E140" s="55" t="str">
        <f t="shared" si="23"/>
        <v>4400228130004</v>
      </c>
      <c r="F140" s="55" t="b">
        <f t="shared" si="25"/>
        <v>0</v>
      </c>
      <c r="G140" s="139">
        <f t="shared" si="26"/>
        <v>44926</v>
      </c>
      <c r="H140" s="105">
        <f>VLOOKUP( $A140, Aop!$A$2:$P$453, 4, 0)</f>
        <v>202</v>
      </c>
      <c r="I140" s="55">
        <f t="shared" si="24"/>
        <v>2022</v>
      </c>
      <c r="J140" s="55" t="str">
        <f t="shared" ref="J140:J203" ca="1" si="30">IF( VLOOKUP( $H140, INDIRECT( "Lookup_" &amp; $B140), IF( LEFT( $B140, 2) = "BS", R$2, R$1), 0) = "", "", VLOOKUP( $H140, INDIRECT( "Lookup_" &amp; $B140), IF( $B140 = "BSp", R$2, R$1), 0))</f>
        <v/>
      </c>
      <c r="K140" s="55"/>
      <c r="L140" s="55"/>
      <c r="M140" s="55">
        <f t="shared" ca="1" si="29"/>
        <v>2299289</v>
      </c>
      <c r="N140" s="55">
        <f t="shared" ca="1" si="21"/>
        <v>2299289</v>
      </c>
    </row>
    <row r="141" spans="1:14" x14ac:dyDescent="0.3">
      <c r="A141" s="105">
        <v>141</v>
      </c>
      <c r="B141" s="105" t="str">
        <f>VLOOKUP( $A141, Aop!$A$2:$P$453, 2, 0)</f>
        <v>BUa</v>
      </c>
      <c r="C141" s="55">
        <v>27</v>
      </c>
      <c r="D141" s="55" t="str">
        <f t="shared" si="22"/>
        <v>01755633</v>
      </c>
      <c r="E141" s="55" t="str">
        <f t="shared" si="23"/>
        <v>4400228130004</v>
      </c>
      <c r="F141" s="55" t="b">
        <f t="shared" si="25"/>
        <v>0</v>
      </c>
      <c r="G141" s="139">
        <f t="shared" si="26"/>
        <v>44926</v>
      </c>
      <c r="H141" s="105">
        <f>VLOOKUP( $A141, Aop!$A$2:$P$453, 4, 0)</f>
        <v>203</v>
      </c>
      <c r="I141" s="55">
        <f t="shared" si="24"/>
        <v>2022</v>
      </c>
      <c r="J141" s="55" t="str">
        <f t="shared" ca="1" si="30"/>
        <v/>
      </c>
      <c r="K141" s="55"/>
      <c r="L141" s="55"/>
      <c r="M141" s="55">
        <f t="shared" ca="1" si="29"/>
        <v>150419</v>
      </c>
      <c r="N141" s="55">
        <f t="shared" ca="1" si="21"/>
        <v>150419</v>
      </c>
    </row>
    <row r="142" spans="1:14" x14ac:dyDescent="0.3">
      <c r="A142" s="105">
        <v>142</v>
      </c>
      <c r="B142" s="105" t="str">
        <f>VLOOKUP( $A142, Aop!$A$2:$P$453, 2, 0)</f>
        <v>BUa</v>
      </c>
      <c r="C142" s="55">
        <v>27</v>
      </c>
      <c r="D142" s="55" t="str">
        <f t="shared" si="22"/>
        <v>01755633</v>
      </c>
      <c r="E142" s="55" t="str">
        <f t="shared" si="23"/>
        <v>4400228130004</v>
      </c>
      <c r="F142" s="55" t="b">
        <f t="shared" si="25"/>
        <v>0</v>
      </c>
      <c r="G142" s="139">
        <f t="shared" si="26"/>
        <v>44926</v>
      </c>
      <c r="H142" s="105">
        <f>VLOOKUP( $A142, Aop!$A$2:$P$453, 4, 0)</f>
        <v>204</v>
      </c>
      <c r="I142" s="55">
        <f t="shared" si="24"/>
        <v>2022</v>
      </c>
      <c r="J142" s="55" t="str">
        <f t="shared" ca="1" si="30"/>
        <v/>
      </c>
      <c r="K142" s="55"/>
      <c r="L142" s="55"/>
      <c r="M142" s="55">
        <f t="shared" ca="1" si="29"/>
        <v>2148870</v>
      </c>
      <c r="N142" s="55">
        <f t="shared" ca="1" si="21"/>
        <v>2148870</v>
      </c>
    </row>
    <row r="143" spans="1:14" x14ac:dyDescent="0.3">
      <c r="A143" s="105">
        <v>143</v>
      </c>
      <c r="B143" s="105" t="str">
        <f>VLOOKUP( $A143, Aop!$A$2:$P$453, 2, 0)</f>
        <v>BUa</v>
      </c>
      <c r="C143" s="55">
        <v>27</v>
      </c>
      <c r="D143" s="55" t="str">
        <f t="shared" si="22"/>
        <v>01755633</v>
      </c>
      <c r="E143" s="55" t="str">
        <f t="shared" si="23"/>
        <v>4400228130004</v>
      </c>
      <c r="F143" s="55" t="b">
        <f t="shared" si="25"/>
        <v>0</v>
      </c>
      <c r="G143" s="139">
        <f t="shared" si="26"/>
        <v>44926</v>
      </c>
      <c r="H143" s="105">
        <f>VLOOKUP( $A143, Aop!$A$2:$P$453, 4, 0)</f>
        <v>205</v>
      </c>
      <c r="I143" s="55">
        <f t="shared" si="24"/>
        <v>2022</v>
      </c>
      <c r="J143" s="55" t="str">
        <f t="shared" ca="1" si="30"/>
        <v/>
      </c>
      <c r="K143" s="55"/>
      <c r="L143" s="55"/>
      <c r="M143" s="55" t="str">
        <f t="shared" ca="1" si="29"/>
        <v/>
      </c>
      <c r="N143" s="55" t="str">
        <f t="shared" ca="1" si="21"/>
        <v/>
      </c>
    </row>
    <row r="144" spans="1:14" x14ac:dyDescent="0.3">
      <c r="A144" s="105">
        <v>144</v>
      </c>
      <c r="B144" s="105" t="str">
        <f>VLOOKUP( $A144, Aop!$A$2:$P$453, 2, 0)</f>
        <v>BUa</v>
      </c>
      <c r="C144" s="55">
        <v>27</v>
      </c>
      <c r="D144" s="55" t="str">
        <f t="shared" si="22"/>
        <v>01755633</v>
      </c>
      <c r="E144" s="55" t="str">
        <f t="shared" si="23"/>
        <v>4400228130004</v>
      </c>
      <c r="F144" s="55" t="b">
        <f t="shared" si="25"/>
        <v>0</v>
      </c>
      <c r="G144" s="139">
        <f t="shared" si="26"/>
        <v>44926</v>
      </c>
      <c r="H144" s="105">
        <f>VLOOKUP( $A144, Aop!$A$2:$P$453, 4, 0)</f>
        <v>206</v>
      </c>
      <c r="I144" s="55">
        <f t="shared" si="24"/>
        <v>2022</v>
      </c>
      <c r="J144" s="55" t="str">
        <f t="shared" ca="1" si="30"/>
        <v/>
      </c>
      <c r="K144" s="55"/>
      <c r="L144" s="55"/>
      <c r="M144" s="55">
        <f t="shared" ca="1" si="29"/>
        <v>1689739</v>
      </c>
      <c r="N144" s="55">
        <f t="shared" ca="1" si="21"/>
        <v>1689739</v>
      </c>
    </row>
    <row r="145" spans="1:14" x14ac:dyDescent="0.3">
      <c r="A145" s="105">
        <v>145</v>
      </c>
      <c r="B145" s="105" t="str">
        <f>VLOOKUP( $A145, Aop!$A$2:$P$453, 2, 0)</f>
        <v>BUa</v>
      </c>
      <c r="C145" s="55">
        <v>27</v>
      </c>
      <c r="D145" s="55" t="str">
        <f t="shared" si="22"/>
        <v>01755633</v>
      </c>
      <c r="E145" s="55" t="str">
        <f t="shared" si="23"/>
        <v>4400228130004</v>
      </c>
      <c r="F145" s="55" t="b">
        <f t="shared" si="25"/>
        <v>0</v>
      </c>
      <c r="G145" s="139">
        <f t="shared" si="26"/>
        <v>44926</v>
      </c>
      <c r="H145" s="105">
        <f>VLOOKUP( $A145, Aop!$A$2:$P$453, 4, 0)</f>
        <v>207</v>
      </c>
      <c r="I145" s="55">
        <f t="shared" si="24"/>
        <v>2022</v>
      </c>
      <c r="J145" s="55" t="str">
        <f t="shared" ca="1" si="30"/>
        <v/>
      </c>
      <c r="K145" s="55"/>
      <c r="L145" s="55"/>
      <c r="M145" s="55">
        <f t="shared" ca="1" si="29"/>
        <v>1302188</v>
      </c>
      <c r="N145" s="55">
        <f t="shared" ca="1" si="21"/>
        <v>1302188</v>
      </c>
    </row>
    <row r="146" spans="1:14" x14ac:dyDescent="0.3">
      <c r="A146" s="105">
        <v>146</v>
      </c>
      <c r="B146" s="105" t="str">
        <f>VLOOKUP( $A146, Aop!$A$2:$P$453, 2, 0)</f>
        <v>BUa</v>
      </c>
      <c r="C146" s="55">
        <v>27</v>
      </c>
      <c r="D146" s="55" t="str">
        <f t="shared" si="22"/>
        <v>01755633</v>
      </c>
      <c r="E146" s="55" t="str">
        <f t="shared" si="23"/>
        <v>4400228130004</v>
      </c>
      <c r="F146" s="55" t="b">
        <f t="shared" si="25"/>
        <v>0</v>
      </c>
      <c r="G146" s="139">
        <f t="shared" si="26"/>
        <v>44926</v>
      </c>
      <c r="H146" s="105">
        <f>VLOOKUP( $A146, Aop!$A$2:$P$453, 4, 0)</f>
        <v>208</v>
      </c>
      <c r="I146" s="55">
        <f t="shared" si="24"/>
        <v>2022</v>
      </c>
      <c r="J146" s="55" t="str">
        <f t="shared" ca="1" si="30"/>
        <v/>
      </c>
      <c r="K146" s="55"/>
      <c r="L146" s="55"/>
      <c r="M146" s="55">
        <f t="shared" ca="1" si="29"/>
        <v>374182</v>
      </c>
      <c r="N146" s="55">
        <f t="shared" ca="1" si="21"/>
        <v>374182</v>
      </c>
    </row>
    <row r="147" spans="1:14" x14ac:dyDescent="0.3">
      <c r="A147" s="105">
        <v>147</v>
      </c>
      <c r="B147" s="105" t="str">
        <f>VLOOKUP( $A147, Aop!$A$2:$P$453, 2, 0)</f>
        <v>BUa</v>
      </c>
      <c r="C147" s="55">
        <v>27</v>
      </c>
      <c r="D147" s="55" t="str">
        <f t="shared" si="22"/>
        <v>01755633</v>
      </c>
      <c r="E147" s="55" t="str">
        <f t="shared" si="23"/>
        <v>4400228130004</v>
      </c>
      <c r="F147" s="55" t="b">
        <f t="shared" si="25"/>
        <v>0</v>
      </c>
      <c r="G147" s="139">
        <f t="shared" si="26"/>
        <v>44926</v>
      </c>
      <c r="H147" s="105">
        <f>VLOOKUP( $A147, Aop!$A$2:$P$453, 4, 0)</f>
        <v>209</v>
      </c>
      <c r="I147" s="55">
        <f t="shared" si="24"/>
        <v>2022</v>
      </c>
      <c r="J147" s="55" t="str">
        <f t="shared" ca="1" si="30"/>
        <v/>
      </c>
      <c r="K147" s="55"/>
      <c r="L147" s="55"/>
      <c r="M147" s="55">
        <f t="shared" ca="1" si="29"/>
        <v>13369</v>
      </c>
      <c r="N147" s="55">
        <f t="shared" ca="1" si="21"/>
        <v>13369</v>
      </c>
    </row>
    <row r="148" spans="1:14" x14ac:dyDescent="0.3">
      <c r="A148" s="105">
        <v>148</v>
      </c>
      <c r="B148" s="105" t="str">
        <f>VLOOKUP( $A148, Aop!$A$2:$P$453, 2, 0)</f>
        <v>BUa</v>
      </c>
      <c r="C148" s="55">
        <v>27</v>
      </c>
      <c r="D148" s="55" t="str">
        <f t="shared" si="22"/>
        <v>01755633</v>
      </c>
      <c r="E148" s="55" t="str">
        <f t="shared" si="23"/>
        <v>4400228130004</v>
      </c>
      <c r="F148" s="55" t="b">
        <f t="shared" si="25"/>
        <v>0</v>
      </c>
      <c r="G148" s="139">
        <f t="shared" si="26"/>
        <v>44926</v>
      </c>
      <c r="H148" s="105">
        <f>VLOOKUP( $A148, Aop!$A$2:$P$453, 4, 0)</f>
        <v>210</v>
      </c>
      <c r="I148" s="55">
        <f t="shared" si="24"/>
        <v>2022</v>
      </c>
      <c r="J148" s="55" t="str">
        <f t="shared" ca="1" si="30"/>
        <v/>
      </c>
      <c r="K148" s="55"/>
      <c r="L148" s="55"/>
      <c r="M148" s="55">
        <f t="shared" ca="1" si="29"/>
        <v>561</v>
      </c>
      <c r="N148" s="55">
        <f t="shared" ca="1" si="21"/>
        <v>561</v>
      </c>
    </row>
    <row r="149" spans="1:14" x14ac:dyDescent="0.3">
      <c r="A149" s="105">
        <v>149</v>
      </c>
      <c r="B149" s="105" t="str">
        <f>VLOOKUP( $A149, Aop!$A$2:$P$453, 2, 0)</f>
        <v>BUa</v>
      </c>
      <c r="C149" s="55">
        <v>27</v>
      </c>
      <c r="D149" s="55" t="str">
        <f t="shared" si="22"/>
        <v>01755633</v>
      </c>
      <c r="E149" s="55" t="str">
        <f t="shared" si="23"/>
        <v>4400228130004</v>
      </c>
      <c r="F149" s="55" t="b">
        <f t="shared" si="25"/>
        <v>0</v>
      </c>
      <c r="G149" s="139">
        <f t="shared" si="26"/>
        <v>44926</v>
      </c>
      <c r="H149" s="105">
        <f>VLOOKUP( $A149, Aop!$A$2:$P$453, 4, 0)</f>
        <v>211</v>
      </c>
      <c r="I149" s="55">
        <f t="shared" si="24"/>
        <v>2022</v>
      </c>
      <c r="J149" s="55" t="str">
        <f t="shared" ca="1" si="30"/>
        <v/>
      </c>
      <c r="K149" s="55"/>
      <c r="L149" s="55"/>
      <c r="M149" s="55" t="str">
        <f t="shared" ca="1" si="29"/>
        <v/>
      </c>
      <c r="N149" s="55" t="str">
        <f t="shared" ca="1" si="21"/>
        <v/>
      </c>
    </row>
    <row r="150" spans="1:14" x14ac:dyDescent="0.3">
      <c r="A150" s="105">
        <v>150</v>
      </c>
      <c r="B150" s="105" t="str">
        <f>VLOOKUP( $A150, Aop!$A$2:$P$453, 2, 0)</f>
        <v>BUa</v>
      </c>
      <c r="C150" s="55">
        <v>27</v>
      </c>
      <c r="D150" s="55" t="str">
        <f t="shared" si="22"/>
        <v>01755633</v>
      </c>
      <c r="E150" s="55" t="str">
        <f t="shared" si="23"/>
        <v>4400228130004</v>
      </c>
      <c r="F150" s="55" t="b">
        <f t="shared" si="25"/>
        <v>0</v>
      </c>
      <c r="G150" s="139">
        <f t="shared" si="26"/>
        <v>44926</v>
      </c>
      <c r="H150" s="105">
        <f>VLOOKUP( $A150, Aop!$A$2:$P$453, 4, 0)</f>
        <v>212</v>
      </c>
      <c r="I150" s="55">
        <f t="shared" si="24"/>
        <v>2022</v>
      </c>
      <c r="J150" s="55" t="str">
        <f t="shared" ca="1" si="30"/>
        <v/>
      </c>
      <c r="K150" s="55"/>
      <c r="L150" s="55"/>
      <c r="M150" s="55">
        <f t="shared" ca="1" si="29"/>
        <v>561</v>
      </c>
      <c r="N150" s="55">
        <f t="shared" ca="1" si="21"/>
        <v>561</v>
      </c>
    </row>
    <row r="151" spans="1:14" x14ac:dyDescent="0.3">
      <c r="A151" s="105">
        <v>151</v>
      </c>
      <c r="B151" s="105" t="str">
        <f>VLOOKUP( $A151, Aop!$A$2:$P$453, 2, 0)</f>
        <v>BUa</v>
      </c>
      <c r="C151" s="55">
        <v>27</v>
      </c>
      <c r="D151" s="55" t="str">
        <f t="shared" si="22"/>
        <v>01755633</v>
      </c>
      <c r="E151" s="55" t="str">
        <f t="shared" si="23"/>
        <v>4400228130004</v>
      </c>
      <c r="F151" s="55" t="b">
        <f t="shared" si="25"/>
        <v>0</v>
      </c>
      <c r="G151" s="139">
        <f t="shared" si="26"/>
        <v>44926</v>
      </c>
      <c r="H151" s="105">
        <f>VLOOKUP( $A151, Aop!$A$2:$P$453, 4, 0)</f>
        <v>213</v>
      </c>
      <c r="I151" s="55">
        <f t="shared" si="24"/>
        <v>2022</v>
      </c>
      <c r="J151" s="55" t="str">
        <f t="shared" ca="1" si="30"/>
        <v/>
      </c>
      <c r="K151" s="55"/>
      <c r="L151" s="55"/>
      <c r="M151" s="55" t="str">
        <f t="shared" ca="1" si="29"/>
        <v/>
      </c>
      <c r="N151" s="55" t="str">
        <f t="shared" ca="1" si="21"/>
        <v/>
      </c>
    </row>
    <row r="152" spans="1:14" x14ac:dyDescent="0.3">
      <c r="A152" s="105">
        <v>152</v>
      </c>
      <c r="B152" s="105" t="str">
        <f>VLOOKUP( $A152, Aop!$A$2:$P$453, 2, 0)</f>
        <v>BUa</v>
      </c>
      <c r="C152" s="55">
        <v>27</v>
      </c>
      <c r="D152" s="55" t="str">
        <f t="shared" si="22"/>
        <v>01755633</v>
      </c>
      <c r="E152" s="55" t="str">
        <f t="shared" si="23"/>
        <v>4400228130004</v>
      </c>
      <c r="F152" s="55" t="b">
        <f t="shared" si="25"/>
        <v>0</v>
      </c>
      <c r="G152" s="139">
        <f t="shared" si="26"/>
        <v>44926</v>
      </c>
      <c r="H152" s="105">
        <f>VLOOKUP( $A152, Aop!$A$2:$P$453, 4, 0)</f>
        <v>214</v>
      </c>
      <c r="I152" s="55">
        <f t="shared" si="24"/>
        <v>2022</v>
      </c>
      <c r="J152" s="55" t="str">
        <f t="shared" ca="1" si="30"/>
        <v/>
      </c>
      <c r="K152" s="55"/>
      <c r="L152" s="55"/>
      <c r="M152" s="55" t="str">
        <f t="shared" ca="1" si="29"/>
        <v/>
      </c>
      <c r="N152" s="55" t="str">
        <f t="shared" ca="1" si="21"/>
        <v/>
      </c>
    </row>
    <row r="153" spans="1:14" x14ac:dyDescent="0.3">
      <c r="A153" s="105">
        <v>153</v>
      </c>
      <c r="B153" s="105" t="str">
        <f>VLOOKUP( $A153, Aop!$A$2:$P$453, 2, 0)</f>
        <v>BUa</v>
      </c>
      <c r="C153" s="55">
        <v>27</v>
      </c>
      <c r="D153" s="55" t="str">
        <f t="shared" si="22"/>
        <v>01755633</v>
      </c>
      <c r="E153" s="55" t="str">
        <f t="shared" si="23"/>
        <v>4400228130004</v>
      </c>
      <c r="F153" s="55" t="b">
        <f t="shared" si="25"/>
        <v>0</v>
      </c>
      <c r="G153" s="139">
        <f t="shared" si="26"/>
        <v>44926</v>
      </c>
      <c r="H153" s="105">
        <f>VLOOKUP( $A153, Aop!$A$2:$P$453, 4, 0)</f>
        <v>215</v>
      </c>
      <c r="I153" s="55">
        <f t="shared" si="24"/>
        <v>2022</v>
      </c>
      <c r="J153" s="55" t="str">
        <f t="shared" ca="1" si="30"/>
        <v/>
      </c>
      <c r="K153" s="55"/>
      <c r="L153" s="55"/>
      <c r="M153" s="55">
        <f t="shared" ca="1" si="29"/>
        <v>1357</v>
      </c>
      <c r="N153" s="55">
        <f t="shared" ca="1" si="21"/>
        <v>1357</v>
      </c>
    </row>
    <row r="154" spans="1:14" x14ac:dyDescent="0.3">
      <c r="A154" s="105">
        <v>154</v>
      </c>
      <c r="B154" s="105" t="str">
        <f>VLOOKUP( $A154, Aop!$A$2:$P$453, 2, 0)</f>
        <v>BUa</v>
      </c>
      <c r="C154" s="55">
        <v>27</v>
      </c>
      <c r="D154" s="55" t="str">
        <f t="shared" si="22"/>
        <v>01755633</v>
      </c>
      <c r="E154" s="55" t="str">
        <f t="shared" si="23"/>
        <v>4400228130004</v>
      </c>
      <c r="F154" s="55" t="b">
        <f t="shared" si="25"/>
        <v>0</v>
      </c>
      <c r="G154" s="139">
        <f t="shared" si="26"/>
        <v>44926</v>
      </c>
      <c r="H154" s="105">
        <f>VLOOKUP( $A154, Aop!$A$2:$P$453, 4, 0)</f>
        <v>216</v>
      </c>
      <c r="I154" s="55">
        <f t="shared" si="24"/>
        <v>2022</v>
      </c>
      <c r="J154" s="55" t="str">
        <f t="shared" ca="1" si="30"/>
        <v/>
      </c>
      <c r="K154" s="55"/>
      <c r="L154" s="55"/>
      <c r="M154" s="55" t="str">
        <f t="shared" ca="1" si="29"/>
        <v/>
      </c>
      <c r="N154" s="55" t="str">
        <f t="shared" ca="1" si="21"/>
        <v/>
      </c>
    </row>
    <row r="155" spans="1:14" x14ac:dyDescent="0.3">
      <c r="A155" s="105">
        <v>155</v>
      </c>
      <c r="B155" s="105" t="str">
        <f>VLOOKUP( $A155, Aop!$A$2:$P$453, 2, 0)</f>
        <v>BUa</v>
      </c>
      <c r="C155" s="55">
        <v>27</v>
      </c>
      <c r="D155" s="55" t="str">
        <f t="shared" si="22"/>
        <v>01755633</v>
      </c>
      <c r="E155" s="55" t="str">
        <f t="shared" si="23"/>
        <v>4400228130004</v>
      </c>
      <c r="F155" s="55" t="b">
        <f t="shared" si="25"/>
        <v>0</v>
      </c>
      <c r="G155" s="139">
        <f t="shared" si="26"/>
        <v>44926</v>
      </c>
      <c r="H155" s="105">
        <f>VLOOKUP( $A155, Aop!$A$2:$P$453, 4, 0)</f>
        <v>217</v>
      </c>
      <c r="I155" s="55">
        <f t="shared" si="24"/>
        <v>2022</v>
      </c>
      <c r="J155" s="55" t="str">
        <f t="shared" ca="1" si="30"/>
        <v/>
      </c>
      <c r="K155" s="55"/>
      <c r="L155" s="55"/>
      <c r="M155" s="55" t="str">
        <f t="shared" ca="1" si="29"/>
        <v/>
      </c>
      <c r="N155" s="55" t="str">
        <f t="shared" ca="1" si="21"/>
        <v/>
      </c>
    </row>
    <row r="156" spans="1:14" x14ac:dyDescent="0.3">
      <c r="A156" s="105">
        <v>156</v>
      </c>
      <c r="B156" s="105" t="str">
        <f>VLOOKUP( $A156, Aop!$A$2:$P$453, 2, 0)</f>
        <v>BUa</v>
      </c>
      <c r="C156" s="55">
        <v>27</v>
      </c>
      <c r="D156" s="55" t="str">
        <f t="shared" si="22"/>
        <v>01755633</v>
      </c>
      <c r="E156" s="55" t="str">
        <f t="shared" si="23"/>
        <v>4400228130004</v>
      </c>
      <c r="F156" s="55" t="b">
        <f t="shared" si="25"/>
        <v>0</v>
      </c>
      <c r="G156" s="139">
        <f t="shared" si="26"/>
        <v>44926</v>
      </c>
      <c r="H156" s="105">
        <f>VLOOKUP( $A156, Aop!$A$2:$P$453, 4, 0)</f>
        <v>218</v>
      </c>
      <c r="I156" s="55">
        <f t="shared" si="24"/>
        <v>2022</v>
      </c>
      <c r="J156" s="55" t="str">
        <f t="shared" ca="1" si="30"/>
        <v/>
      </c>
      <c r="K156" s="55"/>
      <c r="L156" s="55"/>
      <c r="M156" s="55">
        <f t="shared" ca="1" si="29"/>
        <v>39491</v>
      </c>
      <c r="N156" s="55">
        <f t="shared" ca="1" si="21"/>
        <v>39491</v>
      </c>
    </row>
    <row r="157" spans="1:14" x14ac:dyDescent="0.3">
      <c r="A157" s="105">
        <v>157</v>
      </c>
      <c r="B157" s="105" t="str">
        <f>VLOOKUP( $A157, Aop!$A$2:$P$453, 2, 0)</f>
        <v>BUa</v>
      </c>
      <c r="C157" s="55">
        <v>27</v>
      </c>
      <c r="D157" s="55" t="str">
        <f t="shared" si="22"/>
        <v>01755633</v>
      </c>
      <c r="E157" s="55" t="str">
        <f t="shared" si="23"/>
        <v>4400228130004</v>
      </c>
      <c r="F157" s="55" t="b">
        <f t="shared" si="25"/>
        <v>0</v>
      </c>
      <c r="G157" s="139">
        <f t="shared" si="26"/>
        <v>44926</v>
      </c>
      <c r="H157" s="105">
        <f>VLOOKUP( $A157, Aop!$A$2:$P$453, 4, 0)</f>
        <v>219</v>
      </c>
      <c r="I157" s="55">
        <f t="shared" si="24"/>
        <v>2022</v>
      </c>
      <c r="J157" s="55" t="str">
        <f t="shared" ca="1" si="30"/>
        <v/>
      </c>
      <c r="K157" s="55"/>
      <c r="L157" s="55"/>
      <c r="M157" s="55">
        <f t="shared" ca="1" si="29"/>
        <v>3598856</v>
      </c>
      <c r="N157" s="55">
        <f t="shared" ca="1" si="21"/>
        <v>3598856</v>
      </c>
    </row>
    <row r="158" spans="1:14" x14ac:dyDescent="0.3">
      <c r="A158" s="105">
        <v>158</v>
      </c>
      <c r="B158" s="105" t="str">
        <f>VLOOKUP( $A158, Aop!$A$2:$P$453, 2, 0)</f>
        <v>BUa</v>
      </c>
      <c r="C158" s="55">
        <v>27</v>
      </c>
      <c r="D158" s="55" t="str">
        <f t="shared" si="22"/>
        <v>01755633</v>
      </c>
      <c r="E158" s="55" t="str">
        <f t="shared" si="23"/>
        <v>4400228130004</v>
      </c>
      <c r="F158" s="55" t="b">
        <f t="shared" si="25"/>
        <v>0</v>
      </c>
      <c r="G158" s="139">
        <f t="shared" si="26"/>
        <v>44926</v>
      </c>
      <c r="H158" s="105">
        <f>VLOOKUP( $A158, Aop!$A$2:$P$453, 4, 0)</f>
        <v>220</v>
      </c>
      <c r="I158" s="55">
        <f t="shared" si="24"/>
        <v>2022</v>
      </c>
      <c r="J158" s="55">
        <f t="shared" ca="1" si="30"/>
        <v>11</v>
      </c>
      <c r="K158" s="55"/>
      <c r="L158" s="55"/>
      <c r="M158" s="55">
        <f t="shared" ca="1" si="29"/>
        <v>1697044</v>
      </c>
      <c r="N158" s="55">
        <f t="shared" ca="1" si="21"/>
        <v>1697044</v>
      </c>
    </row>
    <row r="159" spans="1:14" x14ac:dyDescent="0.3">
      <c r="A159" s="105">
        <v>159</v>
      </c>
      <c r="B159" s="55" t="str">
        <f>VLOOKUP( $A159, Aop!$A$2:$P$453, 2, 0)</f>
        <v>BUa</v>
      </c>
      <c r="C159" s="55">
        <v>27</v>
      </c>
      <c r="D159" s="55" t="str">
        <f>Podatak_MB</f>
        <v>01755633</v>
      </c>
      <c r="E159" s="55" t="str">
        <f>Podatak_JIB</f>
        <v>4400228130004</v>
      </c>
      <c r="F159" s="55" t="b">
        <f>Konsolidovan_izvjestaj</f>
        <v>0</v>
      </c>
      <c r="G159" s="139">
        <f>Datum_Broj</f>
        <v>44926</v>
      </c>
      <c r="H159" s="55">
        <f>VLOOKUP( $A159, Aop!$A$2:$P$453, 4, 0)</f>
        <v>221</v>
      </c>
      <c r="I159" s="55">
        <f>Godina</f>
        <v>2022</v>
      </c>
      <c r="J159" s="55">
        <f t="shared" ca="1" si="30"/>
        <v>11</v>
      </c>
      <c r="K159" s="55"/>
      <c r="L159" s="55"/>
      <c r="M159" s="55">
        <f t="shared" ca="1" si="29"/>
        <v>87332</v>
      </c>
      <c r="N159" s="55">
        <f t="shared" ca="1" si="21"/>
        <v>87332</v>
      </c>
    </row>
    <row r="160" spans="1:14" x14ac:dyDescent="0.3">
      <c r="A160" s="105">
        <v>160</v>
      </c>
      <c r="B160" s="105" t="str">
        <f>VLOOKUP( $A160, Aop!$A$2:$P$453, 2, 0)</f>
        <v>BUa</v>
      </c>
      <c r="C160" s="55">
        <v>27</v>
      </c>
      <c r="D160" s="55" t="str">
        <f t="shared" si="22"/>
        <v>01755633</v>
      </c>
      <c r="E160" s="55" t="str">
        <f t="shared" si="23"/>
        <v>4400228130004</v>
      </c>
      <c r="F160" s="55" t="b">
        <f t="shared" si="25"/>
        <v>0</v>
      </c>
      <c r="G160" s="139">
        <f t="shared" si="26"/>
        <v>44926</v>
      </c>
      <c r="H160" s="105">
        <f>VLOOKUP( $A160, Aop!$A$2:$P$453, 4, 0)</f>
        <v>222</v>
      </c>
      <c r="I160" s="55">
        <f t="shared" si="24"/>
        <v>2022</v>
      </c>
      <c r="J160" s="55">
        <f t="shared" ca="1" si="30"/>
        <v>11</v>
      </c>
      <c r="K160" s="55"/>
      <c r="L160" s="55"/>
      <c r="M160" s="55">
        <f t="shared" ca="1" si="29"/>
        <v>511924</v>
      </c>
      <c r="N160" s="55">
        <f t="shared" ca="1" si="21"/>
        <v>511924</v>
      </c>
    </row>
    <row r="161" spans="1:14" x14ac:dyDescent="0.3">
      <c r="A161" s="105">
        <v>161</v>
      </c>
      <c r="B161" s="105" t="str">
        <f>VLOOKUP( $A161, Aop!$A$2:$P$453, 2, 0)</f>
        <v>BUa</v>
      </c>
      <c r="C161" s="55">
        <v>27</v>
      </c>
      <c r="D161" s="55" t="str">
        <f t="shared" si="22"/>
        <v>01755633</v>
      </c>
      <c r="E161" s="55" t="str">
        <f t="shared" si="23"/>
        <v>4400228130004</v>
      </c>
      <c r="F161" s="55" t="b">
        <f t="shared" si="25"/>
        <v>0</v>
      </c>
      <c r="G161" s="139">
        <f t="shared" si="26"/>
        <v>44926</v>
      </c>
      <c r="H161" s="105">
        <f>VLOOKUP( $A161, Aop!$A$2:$P$453, 4, 0)</f>
        <v>223</v>
      </c>
      <c r="I161" s="55">
        <f t="shared" si="24"/>
        <v>2022</v>
      </c>
      <c r="J161" s="55">
        <f t="shared" ca="1" si="30"/>
        <v>12</v>
      </c>
      <c r="K161" s="55"/>
      <c r="L161" s="55"/>
      <c r="M161" s="55">
        <f t="shared" ca="1" si="29"/>
        <v>496344</v>
      </c>
      <c r="N161" s="55">
        <f t="shared" ca="1" si="21"/>
        <v>496344</v>
      </c>
    </row>
    <row r="162" spans="1:14" x14ac:dyDescent="0.3">
      <c r="A162" s="105">
        <v>162</v>
      </c>
      <c r="B162" s="105" t="str">
        <f>VLOOKUP( $A162, Aop!$A$2:$P$453, 2, 0)</f>
        <v>BUa</v>
      </c>
      <c r="C162" s="55">
        <v>27</v>
      </c>
      <c r="D162" s="55" t="str">
        <f t="shared" si="22"/>
        <v>01755633</v>
      </c>
      <c r="E162" s="55" t="str">
        <f t="shared" si="23"/>
        <v>4400228130004</v>
      </c>
      <c r="F162" s="55" t="b">
        <f t="shared" si="25"/>
        <v>0</v>
      </c>
      <c r="G162" s="139">
        <f t="shared" si="26"/>
        <v>44926</v>
      </c>
      <c r="H162" s="105">
        <f>VLOOKUP( $A162, Aop!$A$2:$P$453, 4, 0)</f>
        <v>224</v>
      </c>
      <c r="I162" s="55">
        <f t="shared" si="24"/>
        <v>2022</v>
      </c>
      <c r="J162" s="55" t="str">
        <f t="shared" ca="1" si="30"/>
        <v/>
      </c>
      <c r="K162" s="55"/>
      <c r="L162" s="55"/>
      <c r="M162" s="55">
        <f t="shared" ca="1" si="29"/>
        <v>422112</v>
      </c>
      <c r="N162" s="55">
        <f t="shared" ca="1" si="21"/>
        <v>422112</v>
      </c>
    </row>
    <row r="163" spans="1:14" x14ac:dyDescent="0.3">
      <c r="A163" s="105">
        <v>163</v>
      </c>
      <c r="B163" s="105" t="str">
        <f>VLOOKUP( $A163, Aop!$A$2:$P$453, 2, 0)</f>
        <v>BUa</v>
      </c>
      <c r="C163" s="55">
        <v>27</v>
      </c>
      <c r="D163" s="55" t="str">
        <f t="shared" si="22"/>
        <v>01755633</v>
      </c>
      <c r="E163" s="55" t="str">
        <f t="shared" si="23"/>
        <v>4400228130004</v>
      </c>
      <c r="F163" s="55" t="b">
        <f t="shared" si="25"/>
        <v>0</v>
      </c>
      <c r="G163" s="139">
        <f t="shared" si="26"/>
        <v>44926</v>
      </c>
      <c r="H163" s="105">
        <f>VLOOKUP( $A163, Aop!$A$2:$P$453, 4, 0)</f>
        <v>225</v>
      </c>
      <c r="I163" s="55">
        <f t="shared" si="24"/>
        <v>2022</v>
      </c>
      <c r="J163" s="55" t="str">
        <f t="shared" ca="1" si="30"/>
        <v/>
      </c>
      <c r="K163" s="55"/>
      <c r="L163" s="55"/>
      <c r="M163" s="55">
        <f t="shared" ca="1" si="29"/>
        <v>74232</v>
      </c>
      <c r="N163" s="55">
        <f t="shared" ca="1" si="21"/>
        <v>74232</v>
      </c>
    </row>
    <row r="164" spans="1:14" x14ac:dyDescent="0.3">
      <c r="A164" s="105">
        <v>164</v>
      </c>
      <c r="B164" s="105" t="str">
        <f>VLOOKUP( $A164, Aop!$A$2:$P$453, 2, 0)</f>
        <v>BUa</v>
      </c>
      <c r="C164" s="55">
        <v>27</v>
      </c>
      <c r="D164" s="55" t="str">
        <f t="shared" si="22"/>
        <v>01755633</v>
      </c>
      <c r="E164" s="55" t="str">
        <f t="shared" si="23"/>
        <v>4400228130004</v>
      </c>
      <c r="F164" s="55" t="b">
        <f t="shared" si="25"/>
        <v>0</v>
      </c>
      <c r="G164" s="139">
        <f t="shared" si="26"/>
        <v>44926</v>
      </c>
      <c r="H164" s="105">
        <f>VLOOKUP( $A164, Aop!$A$2:$P$453, 4, 0)</f>
        <v>226</v>
      </c>
      <c r="I164" s="55">
        <f t="shared" si="24"/>
        <v>2022</v>
      </c>
      <c r="J164" s="55">
        <f t="shared" ca="1" si="30"/>
        <v>13</v>
      </c>
      <c r="K164" s="55"/>
      <c r="L164" s="55"/>
      <c r="M164" s="55">
        <f t="shared" ca="1" si="29"/>
        <v>242321</v>
      </c>
      <c r="N164" s="55">
        <f t="shared" ca="1" si="21"/>
        <v>242321</v>
      </c>
    </row>
    <row r="165" spans="1:14" x14ac:dyDescent="0.3">
      <c r="A165" s="105">
        <v>165</v>
      </c>
      <c r="B165" s="105" t="str">
        <f>VLOOKUP( $A165, Aop!$A$2:$P$453, 2, 0)</f>
        <v>BUa</v>
      </c>
      <c r="C165" s="55">
        <v>27</v>
      </c>
      <c r="D165" s="55" t="str">
        <f t="shared" si="22"/>
        <v>01755633</v>
      </c>
      <c r="E165" s="55" t="str">
        <f t="shared" si="23"/>
        <v>4400228130004</v>
      </c>
      <c r="F165" s="55" t="b">
        <f t="shared" si="25"/>
        <v>0</v>
      </c>
      <c r="G165" s="139">
        <f t="shared" si="26"/>
        <v>44926</v>
      </c>
      <c r="H165" s="105">
        <f>VLOOKUP( $A165, Aop!$A$2:$P$453, 4, 0)</f>
        <v>227</v>
      </c>
      <c r="I165" s="55">
        <f t="shared" si="24"/>
        <v>2022</v>
      </c>
      <c r="J165" s="55" t="str">
        <f t="shared" ca="1" si="30"/>
        <v/>
      </c>
      <c r="K165" s="55"/>
      <c r="L165" s="55"/>
      <c r="M165" s="55">
        <f t="shared" ca="1" si="29"/>
        <v>358501</v>
      </c>
      <c r="N165" s="55">
        <f t="shared" ca="1" si="21"/>
        <v>358501</v>
      </c>
    </row>
    <row r="166" spans="1:14" x14ac:dyDescent="0.3">
      <c r="A166" s="105">
        <v>167</v>
      </c>
      <c r="B166" s="105" t="str">
        <f>VLOOKUP( $A166, Aop!$A$2:$P$453, 2, 0)</f>
        <v>BUa</v>
      </c>
      <c r="C166" s="55">
        <v>27</v>
      </c>
      <c r="D166" s="55" t="str">
        <f t="shared" si="22"/>
        <v>01755633</v>
      </c>
      <c r="E166" s="55" t="str">
        <f t="shared" si="23"/>
        <v>4400228130004</v>
      </c>
      <c r="F166" s="55" t="b">
        <f t="shared" si="25"/>
        <v>0</v>
      </c>
      <c r="G166" s="139">
        <f t="shared" si="26"/>
        <v>44926</v>
      </c>
      <c r="H166" s="105">
        <f>VLOOKUP( $A166, Aop!$A$2:$P$453, 4, 0)</f>
        <v>229</v>
      </c>
      <c r="I166" s="55">
        <f t="shared" si="24"/>
        <v>2022</v>
      </c>
      <c r="J166" s="55" t="str">
        <f t="shared" ca="1" si="30"/>
        <v/>
      </c>
      <c r="K166" s="55"/>
      <c r="L166" s="55"/>
      <c r="M166" s="55">
        <f t="shared" ca="1" si="29"/>
        <v>358501</v>
      </c>
      <c r="N166" s="55">
        <f t="shared" ca="1" si="21"/>
        <v>358501</v>
      </c>
    </row>
    <row r="167" spans="1:14" x14ac:dyDescent="0.3">
      <c r="A167" s="105">
        <v>168</v>
      </c>
      <c r="B167" s="105" t="str">
        <f>VLOOKUP( $A167, Aop!$A$2:$P$453, 2, 0)</f>
        <v>BUa</v>
      </c>
      <c r="C167" s="55">
        <v>27</v>
      </c>
      <c r="D167" s="55" t="str">
        <f t="shared" si="22"/>
        <v>01755633</v>
      </c>
      <c r="E167" s="55" t="str">
        <f t="shared" si="23"/>
        <v>4400228130004</v>
      </c>
      <c r="F167" s="55" t="b">
        <f t="shared" si="25"/>
        <v>0</v>
      </c>
      <c r="G167" s="139">
        <f t="shared" si="26"/>
        <v>44926</v>
      </c>
      <c r="H167" s="105">
        <f>VLOOKUP( $A167, Aop!$A$2:$P$453, 4, 0)</f>
        <v>230</v>
      </c>
      <c r="I167" s="55">
        <f t="shared" si="24"/>
        <v>2022</v>
      </c>
      <c r="J167" s="55" t="str">
        <f t="shared" ca="1" si="30"/>
        <v/>
      </c>
      <c r="K167" s="55"/>
      <c r="L167" s="55"/>
      <c r="M167" s="55" t="str">
        <f t="shared" ca="1" si="29"/>
        <v/>
      </c>
      <c r="N167" s="55" t="str">
        <f t="shared" ca="1" si="21"/>
        <v/>
      </c>
    </row>
    <row r="168" spans="1:14" x14ac:dyDescent="0.3">
      <c r="A168" s="105">
        <v>169</v>
      </c>
      <c r="B168" s="105" t="str">
        <f>VLOOKUP( $A168, Aop!$A$2:$P$453, 2, 0)</f>
        <v>BUa</v>
      </c>
      <c r="C168" s="55">
        <v>27</v>
      </c>
      <c r="D168" s="55" t="str">
        <f t="shared" si="22"/>
        <v>01755633</v>
      </c>
      <c r="E168" s="55" t="str">
        <f t="shared" si="23"/>
        <v>4400228130004</v>
      </c>
      <c r="F168" s="55" t="b">
        <f t="shared" si="25"/>
        <v>0</v>
      </c>
      <c r="G168" s="139">
        <f t="shared" si="26"/>
        <v>44926</v>
      </c>
      <c r="H168" s="105">
        <f>VLOOKUP( $A168, Aop!$A$2:$P$453, 4, 0)</f>
        <v>231</v>
      </c>
      <c r="I168" s="55">
        <f t="shared" si="24"/>
        <v>2022</v>
      </c>
      <c r="J168" s="55" t="str">
        <f t="shared" ca="1" si="30"/>
        <v/>
      </c>
      <c r="K168" s="55"/>
      <c r="L168" s="55"/>
      <c r="M168" s="55" t="str">
        <f t="shared" ca="1" si="29"/>
        <v/>
      </c>
      <c r="N168" s="55" t="str">
        <f t="shared" ca="1" si="21"/>
        <v/>
      </c>
    </row>
    <row r="169" spans="1:14" x14ac:dyDescent="0.3">
      <c r="A169" s="105">
        <v>170</v>
      </c>
      <c r="B169" s="105" t="str">
        <f>VLOOKUP( $A169, Aop!$A$2:$P$453, 2, 0)</f>
        <v>BUa</v>
      </c>
      <c r="C169" s="55">
        <v>27</v>
      </c>
      <c r="D169" s="55" t="str">
        <f t="shared" si="22"/>
        <v>01755633</v>
      </c>
      <c r="E169" s="55" t="str">
        <f t="shared" si="23"/>
        <v>4400228130004</v>
      </c>
      <c r="F169" s="55" t="b">
        <f t="shared" si="25"/>
        <v>0</v>
      </c>
      <c r="G169" s="139">
        <f t="shared" si="26"/>
        <v>44926</v>
      </c>
      <c r="H169" s="105">
        <f>VLOOKUP( $A169, Aop!$A$2:$P$453, 4, 0)</f>
        <v>232</v>
      </c>
      <c r="I169" s="55">
        <f t="shared" si="24"/>
        <v>2022</v>
      </c>
      <c r="J169" s="55" t="str">
        <f t="shared" ca="1" si="30"/>
        <v/>
      </c>
      <c r="K169" s="55"/>
      <c r="L169" s="55"/>
      <c r="M169" s="55" t="str">
        <f t="shared" ca="1" si="29"/>
        <v/>
      </c>
      <c r="N169" s="55" t="str">
        <f t="shared" ca="1" si="21"/>
        <v/>
      </c>
    </row>
    <row r="170" spans="1:14" x14ac:dyDescent="0.3">
      <c r="A170" s="105">
        <v>171</v>
      </c>
      <c r="B170" s="105" t="str">
        <f>VLOOKUP( $A170, Aop!$A$2:$P$453, 2, 0)</f>
        <v>BUa</v>
      </c>
      <c r="C170" s="55">
        <v>27</v>
      </c>
      <c r="D170" s="55" t="str">
        <f t="shared" si="22"/>
        <v>01755633</v>
      </c>
      <c r="E170" s="55" t="str">
        <f t="shared" si="23"/>
        <v>4400228130004</v>
      </c>
      <c r="F170" s="55" t="b">
        <f t="shared" si="25"/>
        <v>0</v>
      </c>
      <c r="G170" s="139">
        <f t="shared" si="26"/>
        <v>44926</v>
      </c>
      <c r="H170" s="105">
        <f>VLOOKUP( $A170, Aop!$A$2:$P$453, 4, 0)</f>
        <v>233</v>
      </c>
      <c r="I170" s="55">
        <f t="shared" si="24"/>
        <v>2022</v>
      </c>
      <c r="J170" s="55" t="str">
        <f t="shared" ca="1" si="30"/>
        <v/>
      </c>
      <c r="K170" s="55"/>
      <c r="L170" s="55"/>
      <c r="M170" s="55" t="str">
        <f t="shared" ca="1" si="29"/>
        <v/>
      </c>
      <c r="N170" s="55" t="str">
        <f t="shared" ca="1" si="21"/>
        <v/>
      </c>
    </row>
    <row r="171" spans="1:14" x14ac:dyDescent="0.3">
      <c r="A171" s="105">
        <v>172</v>
      </c>
      <c r="B171" s="105" t="str">
        <f>VLOOKUP( $A171, Aop!$A$2:$P$453, 2, 0)</f>
        <v>BUa</v>
      </c>
      <c r="C171" s="55">
        <v>27</v>
      </c>
      <c r="D171" s="55" t="str">
        <f t="shared" si="22"/>
        <v>01755633</v>
      </c>
      <c r="E171" s="55" t="str">
        <f t="shared" si="23"/>
        <v>4400228130004</v>
      </c>
      <c r="F171" s="55" t="b">
        <f t="shared" si="25"/>
        <v>0</v>
      </c>
      <c r="G171" s="139">
        <f t="shared" si="26"/>
        <v>44926</v>
      </c>
      <c r="H171" s="105">
        <f>VLOOKUP( $A171, Aop!$A$2:$P$453, 4, 0)</f>
        <v>234</v>
      </c>
      <c r="I171" s="55">
        <f t="shared" si="24"/>
        <v>2022</v>
      </c>
      <c r="J171" s="55">
        <f t="shared" ca="1" si="30"/>
        <v>15</v>
      </c>
      <c r="K171" s="55"/>
      <c r="L171" s="55"/>
      <c r="M171" s="55">
        <f t="shared" ca="1" si="29"/>
        <v>119244</v>
      </c>
      <c r="N171" s="55">
        <f t="shared" ca="1" si="21"/>
        <v>119244</v>
      </c>
    </row>
    <row r="172" spans="1:14" x14ac:dyDescent="0.3">
      <c r="A172" s="105">
        <v>173</v>
      </c>
      <c r="B172" s="105" t="str">
        <f>VLOOKUP( $A172, Aop!$A$2:$P$453, 2, 0)</f>
        <v>BUa</v>
      </c>
      <c r="C172" s="55">
        <v>27</v>
      </c>
      <c r="D172" s="55" t="str">
        <f t="shared" si="22"/>
        <v>01755633</v>
      </c>
      <c r="E172" s="55" t="str">
        <f t="shared" si="23"/>
        <v>4400228130004</v>
      </c>
      <c r="F172" s="55" t="b">
        <f t="shared" si="25"/>
        <v>0</v>
      </c>
      <c r="G172" s="139">
        <f t="shared" si="26"/>
        <v>44926</v>
      </c>
      <c r="H172" s="105">
        <f>VLOOKUP( $A172, Aop!$A$2:$P$453, 4, 0)</f>
        <v>235</v>
      </c>
      <c r="I172" s="55">
        <f t="shared" si="24"/>
        <v>2022</v>
      </c>
      <c r="J172" s="55">
        <f t="shared" ca="1" si="30"/>
        <v>15</v>
      </c>
      <c r="K172" s="55"/>
      <c r="L172" s="55"/>
      <c r="M172" s="55">
        <f t="shared" ca="1" si="29"/>
        <v>85683</v>
      </c>
      <c r="N172" s="55">
        <f t="shared" ca="1" si="21"/>
        <v>85683</v>
      </c>
    </row>
    <row r="173" spans="1:14" x14ac:dyDescent="0.3">
      <c r="A173" s="105">
        <v>174</v>
      </c>
      <c r="B173" s="55" t="str">
        <f>VLOOKUP( $A173, Aop!$A$2:$P$453, 2, 0)</f>
        <v>BUa</v>
      </c>
      <c r="C173" s="55">
        <v>27</v>
      </c>
      <c r="D173" s="55" t="str">
        <f>Podatak_MB</f>
        <v>01755633</v>
      </c>
      <c r="E173" s="55" t="str">
        <f>Podatak_JIB</f>
        <v>4400228130004</v>
      </c>
      <c r="F173" s="55" t="b">
        <f>Konsolidovan_izvjestaj</f>
        <v>0</v>
      </c>
      <c r="G173" s="139">
        <f>Datum_Broj</f>
        <v>44926</v>
      </c>
      <c r="H173" s="55">
        <f>VLOOKUP( $A173, Aop!$A$2:$P$453, 4, 0)</f>
        <v>236</v>
      </c>
      <c r="I173" s="55">
        <f>Godina</f>
        <v>2022</v>
      </c>
      <c r="J173" s="55">
        <f t="shared" ca="1" si="30"/>
        <v>15</v>
      </c>
      <c r="K173" s="55"/>
      <c r="L173" s="55"/>
      <c r="M173" s="55">
        <f t="shared" ca="1" si="29"/>
        <v>463</v>
      </c>
      <c r="N173" s="55">
        <f t="shared" ca="1" si="21"/>
        <v>463</v>
      </c>
    </row>
    <row r="174" spans="1:14" x14ac:dyDescent="0.3">
      <c r="A174" s="105">
        <v>175</v>
      </c>
      <c r="B174" s="105" t="str">
        <f>VLOOKUP( $A174, Aop!$A$2:$P$453, 2, 0)</f>
        <v>BUa</v>
      </c>
      <c r="C174" s="55">
        <v>27</v>
      </c>
      <c r="D174" s="55" t="str">
        <f t="shared" si="22"/>
        <v>01755633</v>
      </c>
      <c r="E174" s="55" t="str">
        <f t="shared" si="23"/>
        <v>4400228130004</v>
      </c>
      <c r="F174" s="55" t="b">
        <f t="shared" si="25"/>
        <v>0</v>
      </c>
      <c r="G174" s="139">
        <f t="shared" si="26"/>
        <v>44926</v>
      </c>
      <c r="H174" s="105">
        <f>VLOOKUP( $A174, Aop!$A$2:$P$453, 4, 0)</f>
        <v>237</v>
      </c>
      <c r="I174" s="55">
        <f t="shared" si="24"/>
        <v>2022</v>
      </c>
      <c r="J174" s="55" t="str">
        <f t="shared" ca="1" si="30"/>
        <v/>
      </c>
      <c r="K174" s="55"/>
      <c r="L174" s="55"/>
      <c r="M174" s="55">
        <f t="shared" ca="1" si="29"/>
        <v>428867</v>
      </c>
      <c r="N174" s="55">
        <f t="shared" ca="1" si="21"/>
        <v>428867</v>
      </c>
    </row>
    <row r="175" spans="1:14" x14ac:dyDescent="0.3">
      <c r="A175" s="105">
        <v>176</v>
      </c>
      <c r="B175" s="105" t="str">
        <f>VLOOKUP( $A175, Aop!$A$2:$P$453, 2, 0)</f>
        <v>BUa</v>
      </c>
      <c r="C175" s="55">
        <v>27</v>
      </c>
      <c r="D175" s="55" t="str">
        <f t="shared" si="22"/>
        <v>01755633</v>
      </c>
      <c r="E175" s="55" t="str">
        <f t="shared" si="23"/>
        <v>4400228130004</v>
      </c>
      <c r="F175" s="55" t="b">
        <f t="shared" si="25"/>
        <v>0</v>
      </c>
      <c r="G175" s="139">
        <f t="shared" si="26"/>
        <v>44926</v>
      </c>
      <c r="H175" s="105">
        <f>VLOOKUP( $A175, Aop!$A$2:$P$453, 4, 0)</f>
        <v>238</v>
      </c>
      <c r="I175" s="55">
        <f t="shared" si="24"/>
        <v>2022</v>
      </c>
      <c r="J175" s="55" t="str">
        <f t="shared" ca="1" si="30"/>
        <v/>
      </c>
      <c r="K175" s="55"/>
      <c r="L175" s="55"/>
      <c r="M175" s="55">
        <f t="shared" ca="1" si="29"/>
        <v>0</v>
      </c>
      <c r="N175" s="55">
        <f t="shared" ca="1" si="21"/>
        <v>0</v>
      </c>
    </row>
    <row r="176" spans="1:14" x14ac:dyDescent="0.3">
      <c r="A176" s="105">
        <v>177</v>
      </c>
      <c r="B176" s="105" t="str">
        <f>VLOOKUP( $A176, Aop!$A$2:$P$453, 2, 0)</f>
        <v>BUa</v>
      </c>
      <c r="C176" s="55">
        <v>27</v>
      </c>
      <c r="D176" s="55" t="str">
        <f t="shared" si="22"/>
        <v>01755633</v>
      </c>
      <c r="E176" s="55" t="str">
        <f t="shared" si="23"/>
        <v>4400228130004</v>
      </c>
      <c r="F176" s="55" t="b">
        <f t="shared" si="25"/>
        <v>0</v>
      </c>
      <c r="G176" s="139">
        <f t="shared" si="26"/>
        <v>44926</v>
      </c>
      <c r="H176" s="105">
        <f>VLOOKUP( $A176, Aop!$A$2:$P$453, 4, 0)</f>
        <v>239</v>
      </c>
      <c r="I176" s="55">
        <f t="shared" si="24"/>
        <v>2022</v>
      </c>
      <c r="J176" s="55">
        <f t="shared" ca="1" si="30"/>
        <v>17</v>
      </c>
      <c r="K176" s="55"/>
      <c r="L176" s="55"/>
      <c r="M176" s="55">
        <f t="shared" ca="1" si="29"/>
        <v>169</v>
      </c>
      <c r="N176" s="55">
        <f t="shared" ca="1" si="21"/>
        <v>169</v>
      </c>
    </row>
    <row r="177" spans="1:14" x14ac:dyDescent="0.3">
      <c r="A177" s="105">
        <v>178</v>
      </c>
      <c r="B177" s="105" t="str">
        <f>VLOOKUP( $A177, Aop!$A$2:$P$453, 2, 0)</f>
        <v>BUa</v>
      </c>
      <c r="C177" s="55">
        <v>27</v>
      </c>
      <c r="D177" s="55" t="str">
        <f t="shared" si="22"/>
        <v>01755633</v>
      </c>
      <c r="E177" s="55" t="str">
        <f t="shared" si="23"/>
        <v>4400228130004</v>
      </c>
      <c r="F177" s="55" t="b">
        <f t="shared" si="25"/>
        <v>0</v>
      </c>
      <c r="G177" s="139">
        <f t="shared" si="26"/>
        <v>44926</v>
      </c>
      <c r="H177" s="105">
        <f>VLOOKUP( $A177, Aop!$A$2:$P$453, 4, 0)</f>
        <v>240</v>
      </c>
      <c r="I177" s="55">
        <f t="shared" si="24"/>
        <v>2022</v>
      </c>
      <c r="J177" s="55" t="str">
        <f t="shared" ca="1" si="30"/>
        <v/>
      </c>
      <c r="K177" s="55"/>
      <c r="L177" s="55"/>
      <c r="M177" s="55">
        <f t="shared" ca="1" si="29"/>
        <v>169</v>
      </c>
      <c r="N177" s="55">
        <f t="shared" ca="1" si="21"/>
        <v>169</v>
      </c>
    </row>
    <row r="178" spans="1:14" x14ac:dyDescent="0.3">
      <c r="A178" s="105">
        <v>179</v>
      </c>
      <c r="B178" s="105" t="str">
        <f>VLOOKUP( $A178, Aop!$A$2:$P$453, 2, 0)</f>
        <v>BUa</v>
      </c>
      <c r="C178" s="55">
        <v>27</v>
      </c>
      <c r="D178" s="55" t="str">
        <f t="shared" si="22"/>
        <v>01755633</v>
      </c>
      <c r="E178" s="55" t="str">
        <f t="shared" si="23"/>
        <v>4400228130004</v>
      </c>
      <c r="F178" s="55" t="b">
        <f t="shared" si="25"/>
        <v>0</v>
      </c>
      <c r="G178" s="139">
        <f t="shared" si="26"/>
        <v>44926</v>
      </c>
      <c r="H178" s="105">
        <f>VLOOKUP( $A178, Aop!$A$2:$P$453, 4, 0)</f>
        <v>241</v>
      </c>
      <c r="I178" s="55">
        <f t="shared" si="24"/>
        <v>2022</v>
      </c>
      <c r="J178" s="55" t="str">
        <f t="shared" ca="1" si="30"/>
        <v/>
      </c>
      <c r="K178" s="55"/>
      <c r="L178" s="55"/>
      <c r="M178" s="55" t="str">
        <f t="shared" ca="1" si="29"/>
        <v/>
      </c>
      <c r="N178" s="55" t="str">
        <f t="shared" ca="1" si="21"/>
        <v/>
      </c>
    </row>
    <row r="179" spans="1:14" x14ac:dyDescent="0.3">
      <c r="A179" s="105">
        <v>180</v>
      </c>
      <c r="B179" s="105" t="str">
        <f>VLOOKUP( $A179, Aop!$A$2:$P$453, 2, 0)</f>
        <v>BUa</v>
      </c>
      <c r="C179" s="55">
        <v>27</v>
      </c>
      <c r="D179" s="55" t="str">
        <f t="shared" si="22"/>
        <v>01755633</v>
      </c>
      <c r="E179" s="55" t="str">
        <f t="shared" si="23"/>
        <v>4400228130004</v>
      </c>
      <c r="F179" s="55" t="b">
        <f t="shared" si="25"/>
        <v>0</v>
      </c>
      <c r="G179" s="139">
        <f t="shared" si="26"/>
        <v>44926</v>
      </c>
      <c r="H179" s="105">
        <f>VLOOKUP( $A179, Aop!$A$2:$P$453, 4, 0)</f>
        <v>242</v>
      </c>
      <c r="I179" s="55">
        <f t="shared" si="24"/>
        <v>2022</v>
      </c>
      <c r="J179" s="55" t="str">
        <f t="shared" ca="1" si="30"/>
        <v/>
      </c>
      <c r="K179" s="55"/>
      <c r="L179" s="55"/>
      <c r="M179" s="55" t="str">
        <f t="shared" ca="1" si="29"/>
        <v/>
      </c>
      <c r="N179" s="55" t="str">
        <f t="shared" ca="1" si="21"/>
        <v/>
      </c>
    </row>
    <row r="180" spans="1:14" x14ac:dyDescent="0.3">
      <c r="A180" s="105">
        <v>181</v>
      </c>
      <c r="B180" s="105" t="str">
        <f>VLOOKUP( $A180, Aop!$A$2:$P$453, 2, 0)</f>
        <v>BUa</v>
      </c>
      <c r="C180" s="55">
        <v>27</v>
      </c>
      <c r="D180" s="55" t="str">
        <f t="shared" si="22"/>
        <v>01755633</v>
      </c>
      <c r="E180" s="55" t="str">
        <f t="shared" si="23"/>
        <v>4400228130004</v>
      </c>
      <c r="F180" s="55" t="b">
        <f t="shared" si="25"/>
        <v>0</v>
      </c>
      <c r="G180" s="139">
        <f t="shared" si="26"/>
        <v>44926</v>
      </c>
      <c r="H180" s="105">
        <f>VLOOKUP( $A180, Aop!$A$2:$P$453, 4, 0)</f>
        <v>243</v>
      </c>
      <c r="I180" s="55">
        <f t="shared" si="24"/>
        <v>2022</v>
      </c>
      <c r="J180" s="55" t="str">
        <f t="shared" ca="1" si="30"/>
        <v/>
      </c>
      <c r="K180" s="55"/>
      <c r="L180" s="55"/>
      <c r="M180" s="55" t="str">
        <f t="shared" ca="1" si="29"/>
        <v/>
      </c>
      <c r="N180" s="55" t="str">
        <f t="shared" ca="1" si="21"/>
        <v/>
      </c>
    </row>
    <row r="181" spans="1:14" x14ac:dyDescent="0.3">
      <c r="A181" s="105">
        <v>183</v>
      </c>
      <c r="B181" s="105" t="str">
        <f>VLOOKUP( $A181, Aop!$A$2:$P$453, 2, 0)</f>
        <v>BUa</v>
      </c>
      <c r="C181" s="55">
        <v>27</v>
      </c>
      <c r="D181" s="55" t="str">
        <f t="shared" si="22"/>
        <v>01755633</v>
      </c>
      <c r="E181" s="55" t="str">
        <f t="shared" si="23"/>
        <v>4400228130004</v>
      </c>
      <c r="F181" s="55" t="b">
        <f t="shared" si="25"/>
        <v>0</v>
      </c>
      <c r="G181" s="139">
        <f t="shared" si="26"/>
        <v>44926</v>
      </c>
      <c r="H181" s="105">
        <f>VLOOKUP( $A181, Aop!$A$2:$P$453, 4, 0)</f>
        <v>245</v>
      </c>
      <c r="I181" s="55">
        <f t="shared" si="24"/>
        <v>2022</v>
      </c>
      <c r="J181" s="55" t="str">
        <f t="shared" ca="1" si="30"/>
        <v/>
      </c>
      <c r="K181" s="55"/>
      <c r="L181" s="55"/>
      <c r="M181" s="55">
        <f t="shared" ca="1" si="29"/>
        <v>22</v>
      </c>
      <c r="N181" s="55">
        <f t="shared" ca="1" si="21"/>
        <v>22</v>
      </c>
    </row>
    <row r="182" spans="1:14" x14ac:dyDescent="0.3">
      <c r="A182" s="105">
        <v>184</v>
      </c>
      <c r="B182" s="105" t="str">
        <f>VLOOKUP( $A182, Aop!$A$2:$P$453, 2, 0)</f>
        <v>BUa</v>
      </c>
      <c r="C182" s="55">
        <v>27</v>
      </c>
      <c r="D182" s="55" t="str">
        <f t="shared" si="22"/>
        <v>01755633</v>
      </c>
      <c r="E182" s="55" t="str">
        <f t="shared" si="23"/>
        <v>4400228130004</v>
      </c>
      <c r="F182" s="55" t="b">
        <f t="shared" si="25"/>
        <v>0</v>
      </c>
      <c r="G182" s="139">
        <f t="shared" si="26"/>
        <v>44926</v>
      </c>
      <c r="H182" s="105">
        <f>VLOOKUP( $A182, Aop!$A$2:$P$453, 4, 0)</f>
        <v>246</v>
      </c>
      <c r="I182" s="55">
        <f t="shared" si="24"/>
        <v>2022</v>
      </c>
      <c r="J182" s="55" t="str">
        <f t="shared" ca="1" si="30"/>
        <v/>
      </c>
      <c r="K182" s="55"/>
      <c r="L182" s="55"/>
      <c r="M182" s="55" t="str">
        <f t="shared" ca="1" si="29"/>
        <v/>
      </c>
      <c r="N182" s="55" t="str">
        <f t="shared" ca="1" si="21"/>
        <v/>
      </c>
    </row>
    <row r="183" spans="1:14" x14ac:dyDescent="0.3">
      <c r="A183" s="105">
        <v>185</v>
      </c>
      <c r="B183" s="105" t="str">
        <f>VLOOKUP( $A183, Aop!$A$2:$P$453, 2, 0)</f>
        <v>BUa</v>
      </c>
      <c r="C183" s="55">
        <v>27</v>
      </c>
      <c r="D183" s="55" t="str">
        <f t="shared" si="22"/>
        <v>01755633</v>
      </c>
      <c r="E183" s="55" t="str">
        <f t="shared" si="23"/>
        <v>4400228130004</v>
      </c>
      <c r="F183" s="55" t="b">
        <f t="shared" si="25"/>
        <v>0</v>
      </c>
      <c r="G183" s="139">
        <f t="shared" si="26"/>
        <v>44926</v>
      </c>
      <c r="H183" s="105">
        <f>VLOOKUP( $A183, Aop!$A$2:$P$453, 4, 0)</f>
        <v>247</v>
      </c>
      <c r="I183" s="55">
        <f t="shared" si="24"/>
        <v>2022</v>
      </c>
      <c r="J183" s="55" t="str">
        <f t="shared" ca="1" si="30"/>
        <v/>
      </c>
      <c r="K183" s="55"/>
      <c r="L183" s="55"/>
      <c r="M183" s="55" t="str">
        <f t="shared" ca="1" si="29"/>
        <v/>
      </c>
      <c r="N183" s="55" t="str">
        <f t="shared" ca="1" si="21"/>
        <v/>
      </c>
    </row>
    <row r="184" spans="1:14" x14ac:dyDescent="0.3">
      <c r="A184" s="105">
        <v>186</v>
      </c>
      <c r="B184" s="105" t="str">
        <f>VLOOKUP( $A184, Aop!$A$2:$P$453, 2, 0)</f>
        <v>BUa</v>
      </c>
      <c r="C184" s="55">
        <v>27</v>
      </c>
      <c r="D184" s="55" t="str">
        <f t="shared" si="22"/>
        <v>01755633</v>
      </c>
      <c r="E184" s="55" t="str">
        <f t="shared" si="23"/>
        <v>4400228130004</v>
      </c>
      <c r="F184" s="55" t="b">
        <f t="shared" si="25"/>
        <v>0</v>
      </c>
      <c r="G184" s="139">
        <f t="shared" si="26"/>
        <v>44926</v>
      </c>
      <c r="H184" s="105">
        <f>VLOOKUP( $A184, Aop!$A$2:$P$453, 4, 0)</f>
        <v>248</v>
      </c>
      <c r="I184" s="55">
        <f t="shared" si="24"/>
        <v>2022</v>
      </c>
      <c r="J184" s="55" t="str">
        <f t="shared" ca="1" si="30"/>
        <v/>
      </c>
      <c r="K184" s="55"/>
      <c r="L184" s="55"/>
      <c r="M184" s="55" t="str">
        <f t="shared" ca="1" si="29"/>
        <v/>
      </c>
      <c r="N184" s="55" t="str">
        <f t="shared" ca="1" si="21"/>
        <v/>
      </c>
    </row>
    <row r="185" spans="1:14" x14ac:dyDescent="0.3">
      <c r="A185" s="105">
        <v>187</v>
      </c>
      <c r="B185" s="105" t="str">
        <f>VLOOKUP( $A185, Aop!$A$2:$P$453, 2, 0)</f>
        <v>BUa</v>
      </c>
      <c r="C185" s="55">
        <v>27</v>
      </c>
      <c r="D185" s="55" t="str">
        <f t="shared" si="22"/>
        <v>01755633</v>
      </c>
      <c r="E185" s="55" t="str">
        <f t="shared" si="23"/>
        <v>4400228130004</v>
      </c>
      <c r="F185" s="55" t="b">
        <f t="shared" si="25"/>
        <v>0</v>
      </c>
      <c r="G185" s="139">
        <f t="shared" si="26"/>
        <v>44926</v>
      </c>
      <c r="H185" s="105">
        <f>VLOOKUP( $A185, Aop!$A$2:$P$453, 4, 0)</f>
        <v>249</v>
      </c>
      <c r="I185" s="55">
        <f t="shared" si="24"/>
        <v>2022</v>
      </c>
      <c r="J185" s="55" t="str">
        <f t="shared" ca="1" si="30"/>
        <v/>
      </c>
      <c r="K185" s="55"/>
      <c r="L185" s="55"/>
      <c r="M185" s="55">
        <f t="shared" ca="1" si="29"/>
        <v>429014</v>
      </c>
      <c r="N185" s="55">
        <f t="shared" ca="1" si="21"/>
        <v>429014</v>
      </c>
    </row>
    <row r="186" spans="1:14" x14ac:dyDescent="0.3">
      <c r="A186" s="105">
        <v>188</v>
      </c>
      <c r="B186" s="105" t="str">
        <f>VLOOKUP( $A186, Aop!$A$2:$P$453, 2, 0)</f>
        <v>BUa</v>
      </c>
      <c r="C186" s="55">
        <v>27</v>
      </c>
      <c r="D186" s="55" t="str">
        <f t="shared" si="22"/>
        <v>01755633</v>
      </c>
      <c r="E186" s="55" t="str">
        <f t="shared" si="23"/>
        <v>4400228130004</v>
      </c>
      <c r="F186" s="55" t="b">
        <f t="shared" si="25"/>
        <v>0</v>
      </c>
      <c r="G186" s="139">
        <f t="shared" si="26"/>
        <v>44926</v>
      </c>
      <c r="H186" s="105">
        <f>VLOOKUP( $A186, Aop!$A$2:$P$453, 4, 0)</f>
        <v>250</v>
      </c>
      <c r="I186" s="55">
        <f t="shared" si="24"/>
        <v>2022</v>
      </c>
      <c r="J186" s="55" t="str">
        <f t="shared" ca="1" si="30"/>
        <v/>
      </c>
      <c r="K186" s="55"/>
      <c r="L186" s="55"/>
      <c r="M186" s="55">
        <f t="shared" ca="1" si="29"/>
        <v>0</v>
      </c>
      <c r="N186" s="55">
        <f t="shared" ca="1" si="21"/>
        <v>0</v>
      </c>
    </row>
    <row r="187" spans="1:14" x14ac:dyDescent="0.3">
      <c r="A187" s="105">
        <v>189</v>
      </c>
      <c r="B187" s="105" t="str">
        <f>VLOOKUP( $A187, Aop!$A$2:$P$453, 2, 0)</f>
        <v>BUa</v>
      </c>
      <c r="C187" s="55">
        <v>27</v>
      </c>
      <c r="D187" s="55" t="str">
        <f t="shared" si="22"/>
        <v>01755633</v>
      </c>
      <c r="E187" s="55" t="str">
        <f t="shared" si="23"/>
        <v>4400228130004</v>
      </c>
      <c r="F187" s="55" t="b">
        <f t="shared" si="25"/>
        <v>0</v>
      </c>
      <c r="G187" s="139">
        <f t="shared" si="26"/>
        <v>44926</v>
      </c>
      <c r="H187" s="105">
        <f>VLOOKUP( $A187, Aop!$A$2:$P$453, 4, 0)</f>
        <v>251</v>
      </c>
      <c r="I187" s="55">
        <f t="shared" si="24"/>
        <v>2022</v>
      </c>
      <c r="J187" s="55">
        <f t="shared" ca="1" si="30"/>
        <v>16</v>
      </c>
      <c r="K187" s="55"/>
      <c r="L187" s="55"/>
      <c r="M187" s="55">
        <f t="shared" ca="1" si="29"/>
        <v>26425</v>
      </c>
      <c r="N187" s="55">
        <f t="shared" ca="1" si="21"/>
        <v>26425</v>
      </c>
    </row>
    <row r="188" spans="1:14" x14ac:dyDescent="0.3">
      <c r="A188" s="105">
        <v>190</v>
      </c>
      <c r="B188" s="105" t="str">
        <f>VLOOKUP( $A188, Aop!$A$2:$P$453, 2, 0)</f>
        <v>BUa</v>
      </c>
      <c r="C188" s="55">
        <v>27</v>
      </c>
      <c r="D188" s="55" t="str">
        <f t="shared" si="22"/>
        <v>01755633</v>
      </c>
      <c r="E188" s="55" t="str">
        <f t="shared" si="23"/>
        <v>4400228130004</v>
      </c>
      <c r="F188" s="55" t="b">
        <f t="shared" si="25"/>
        <v>0</v>
      </c>
      <c r="G188" s="139">
        <f t="shared" si="26"/>
        <v>44926</v>
      </c>
      <c r="H188" s="105">
        <f>VLOOKUP( $A188, Aop!$A$2:$P$453, 4, 0)</f>
        <v>252</v>
      </c>
      <c r="I188" s="55">
        <f t="shared" si="24"/>
        <v>2022</v>
      </c>
      <c r="J188" s="55" t="str">
        <f t="shared" ca="1" si="30"/>
        <v/>
      </c>
      <c r="K188" s="55"/>
      <c r="L188" s="55"/>
      <c r="M188" s="55">
        <f t="shared" ca="1" si="29"/>
        <v>200</v>
      </c>
      <c r="N188" s="55">
        <f t="shared" ca="1" si="21"/>
        <v>200</v>
      </c>
    </row>
    <row r="189" spans="1:14" x14ac:dyDescent="0.3">
      <c r="A189" s="105">
        <v>191</v>
      </c>
      <c r="B189" s="105" t="str">
        <f>VLOOKUP( $A189, Aop!$A$2:$P$453, 2, 0)</f>
        <v>BUa</v>
      </c>
      <c r="C189" s="55">
        <v>27</v>
      </c>
      <c r="D189" s="55" t="str">
        <f t="shared" si="22"/>
        <v>01755633</v>
      </c>
      <c r="E189" s="55" t="str">
        <f t="shared" si="23"/>
        <v>4400228130004</v>
      </c>
      <c r="F189" s="55" t="b">
        <f t="shared" si="25"/>
        <v>0</v>
      </c>
      <c r="G189" s="139">
        <f t="shared" si="26"/>
        <v>44926</v>
      </c>
      <c r="H189" s="105">
        <f>VLOOKUP( $A189, Aop!$A$2:$P$453, 4, 0)</f>
        <v>253</v>
      </c>
      <c r="I189" s="55">
        <f t="shared" si="24"/>
        <v>2022</v>
      </c>
      <c r="J189" s="55" t="str">
        <f t="shared" ca="1" si="30"/>
        <v/>
      </c>
      <c r="K189" s="55"/>
      <c r="L189" s="55"/>
      <c r="M189" s="55" t="str">
        <f t="shared" ca="1" si="29"/>
        <v/>
      </c>
      <c r="N189" s="55" t="str">
        <f t="shared" ca="1" si="21"/>
        <v/>
      </c>
    </row>
    <row r="190" spans="1:14" x14ac:dyDescent="0.3">
      <c r="A190" s="105">
        <v>192</v>
      </c>
      <c r="B190" s="105" t="str">
        <f>VLOOKUP( $A190, Aop!$A$2:$P$453, 2, 0)</f>
        <v>BUa</v>
      </c>
      <c r="C190" s="55">
        <v>27</v>
      </c>
      <c r="D190" s="55" t="str">
        <f t="shared" si="22"/>
        <v>01755633</v>
      </c>
      <c r="E190" s="55" t="str">
        <f t="shared" si="23"/>
        <v>4400228130004</v>
      </c>
      <c r="F190" s="55" t="b">
        <f t="shared" si="25"/>
        <v>0</v>
      </c>
      <c r="G190" s="139">
        <f t="shared" si="26"/>
        <v>44926</v>
      </c>
      <c r="H190" s="105">
        <f>VLOOKUP( $A190, Aop!$A$2:$P$453, 4, 0)</f>
        <v>254</v>
      </c>
      <c r="I190" s="55">
        <f t="shared" si="24"/>
        <v>2022</v>
      </c>
      <c r="J190" s="55" t="str">
        <f t="shared" ca="1" si="30"/>
        <v/>
      </c>
      <c r="K190" s="55"/>
      <c r="L190" s="55"/>
      <c r="M190" s="55" t="str">
        <f t="shared" ca="1" si="29"/>
        <v/>
      </c>
      <c r="N190" s="55" t="str">
        <f t="shared" ca="1" si="21"/>
        <v/>
      </c>
    </row>
    <row r="191" spans="1:14" x14ac:dyDescent="0.3">
      <c r="A191" s="105">
        <v>193</v>
      </c>
      <c r="B191" s="105" t="str">
        <f>VLOOKUP( $A191, Aop!$A$2:$P$453, 2, 0)</f>
        <v>BUa</v>
      </c>
      <c r="C191" s="55">
        <v>27</v>
      </c>
      <c r="D191" s="55" t="str">
        <f t="shared" ref="D191:D252" si="31">Podatak_MB</f>
        <v>01755633</v>
      </c>
      <c r="E191" s="55" t="str">
        <f t="shared" ref="E191:E252" si="32">Podatak_JIB</f>
        <v>4400228130004</v>
      </c>
      <c r="F191" s="55" t="b">
        <f t="shared" si="25"/>
        <v>0</v>
      </c>
      <c r="G191" s="139">
        <f t="shared" si="26"/>
        <v>44926</v>
      </c>
      <c r="H191" s="105">
        <f>VLOOKUP( $A191, Aop!$A$2:$P$453, 4, 0)</f>
        <v>255</v>
      </c>
      <c r="I191" s="55">
        <f t="shared" ref="I191:I252" si="33">Godina</f>
        <v>2022</v>
      </c>
      <c r="J191" s="55" t="str">
        <f t="shared" ca="1" si="30"/>
        <v/>
      </c>
      <c r="K191" s="55"/>
      <c r="L191" s="55"/>
      <c r="M191" s="55" t="str">
        <f t="shared" ca="1" si="29"/>
        <v/>
      </c>
      <c r="N191" s="55" t="str">
        <f t="shared" ca="1" si="21"/>
        <v/>
      </c>
    </row>
    <row r="192" spans="1:14" x14ac:dyDescent="0.3">
      <c r="A192" s="105">
        <v>194</v>
      </c>
      <c r="B192" s="105" t="str">
        <f>VLOOKUP( $A192, Aop!$A$2:$P$453, 2, 0)</f>
        <v>BUa</v>
      </c>
      <c r="C192" s="55">
        <v>27</v>
      </c>
      <c r="D192" s="55" t="str">
        <f t="shared" si="31"/>
        <v>01755633</v>
      </c>
      <c r="E192" s="55" t="str">
        <f t="shared" si="32"/>
        <v>4400228130004</v>
      </c>
      <c r="F192" s="55" t="b">
        <f t="shared" ref="F192:F253" si="34">Konsolidovan_izvjestaj</f>
        <v>0</v>
      </c>
      <c r="G192" s="139">
        <f t="shared" ref="G192:G253" si="35">Datum_Broj</f>
        <v>44926</v>
      </c>
      <c r="H192" s="105">
        <f>VLOOKUP( $A192, Aop!$A$2:$P$453, 4, 0)</f>
        <v>256</v>
      </c>
      <c r="I192" s="55">
        <f t="shared" si="33"/>
        <v>2022</v>
      </c>
      <c r="J192" s="55" t="str">
        <f t="shared" ca="1" si="30"/>
        <v/>
      </c>
      <c r="K192" s="55"/>
      <c r="L192" s="55"/>
      <c r="M192" s="55" t="str">
        <f t="shared" ca="1" si="29"/>
        <v/>
      </c>
      <c r="N192" s="55" t="str">
        <f t="shared" ca="1" si="21"/>
        <v/>
      </c>
    </row>
    <row r="193" spans="1:14" x14ac:dyDescent="0.3">
      <c r="A193" s="105">
        <v>195</v>
      </c>
      <c r="B193" s="105" t="str">
        <f>VLOOKUP( $A193, Aop!$A$2:$P$453, 2, 0)</f>
        <v>BUa</v>
      </c>
      <c r="C193" s="55">
        <v>27</v>
      </c>
      <c r="D193" s="55" t="str">
        <f t="shared" si="31"/>
        <v>01755633</v>
      </c>
      <c r="E193" s="55" t="str">
        <f t="shared" si="32"/>
        <v>4400228130004</v>
      </c>
      <c r="F193" s="55" t="b">
        <f t="shared" si="34"/>
        <v>0</v>
      </c>
      <c r="G193" s="139">
        <f t="shared" si="35"/>
        <v>44926</v>
      </c>
      <c r="H193" s="105">
        <f>VLOOKUP( $A193, Aop!$A$2:$P$453, 4, 0)</f>
        <v>257</v>
      </c>
      <c r="I193" s="55">
        <f t="shared" si="33"/>
        <v>2022</v>
      </c>
      <c r="J193" s="55" t="str">
        <f t="shared" ca="1" si="30"/>
        <v/>
      </c>
      <c r="K193" s="55"/>
      <c r="L193" s="55"/>
      <c r="M193" s="55" t="str">
        <f t="shared" ca="1" si="29"/>
        <v/>
      </c>
      <c r="N193" s="55" t="str">
        <f t="shared" ca="1" si="21"/>
        <v/>
      </c>
    </row>
    <row r="194" spans="1:14" x14ac:dyDescent="0.3">
      <c r="A194" s="105">
        <v>196</v>
      </c>
      <c r="B194" s="105" t="str">
        <f>VLOOKUP( $A194, Aop!$A$2:$P$453, 2, 0)</f>
        <v>BUa</v>
      </c>
      <c r="C194" s="55">
        <v>27</v>
      </c>
      <c r="D194" s="55" t="str">
        <f t="shared" si="31"/>
        <v>01755633</v>
      </c>
      <c r="E194" s="55" t="str">
        <f t="shared" si="32"/>
        <v>4400228130004</v>
      </c>
      <c r="F194" s="55" t="b">
        <f t="shared" si="34"/>
        <v>0</v>
      </c>
      <c r="G194" s="139">
        <f t="shared" si="35"/>
        <v>44926</v>
      </c>
      <c r="H194" s="105">
        <f>VLOOKUP( $A194, Aop!$A$2:$P$453, 4, 0)</f>
        <v>258</v>
      </c>
      <c r="I194" s="55">
        <f t="shared" si="33"/>
        <v>2022</v>
      </c>
      <c r="J194" s="55" t="str">
        <f t="shared" ca="1" si="30"/>
        <v/>
      </c>
      <c r="K194" s="55"/>
      <c r="L194" s="55"/>
      <c r="M194" s="55">
        <f t="shared" ca="1" si="29"/>
        <v>582</v>
      </c>
      <c r="N194" s="55">
        <f t="shared" ref="N194:N257" ca="1" si="36">IF( VLOOKUP( $H194, INDIRECT( "Lookup_" &amp; $B194), IF( LEFT( $B194, 2) = "BS", S$2, S$1), 0) = "", "", VLOOKUP( $H194, INDIRECT( "Lookup_" &amp; $B194), IF( LEFT( $B194, 2) = "BS", S$2, S$1), 0))</f>
        <v>582</v>
      </c>
    </row>
    <row r="195" spans="1:14" x14ac:dyDescent="0.3">
      <c r="A195" s="105">
        <v>197</v>
      </c>
      <c r="B195" s="105" t="str">
        <f>VLOOKUP( $A195, Aop!$A$2:$P$453, 2, 0)</f>
        <v>BUa</v>
      </c>
      <c r="C195" s="55">
        <v>27</v>
      </c>
      <c r="D195" s="55" t="str">
        <f t="shared" si="31"/>
        <v>01755633</v>
      </c>
      <c r="E195" s="55" t="str">
        <f t="shared" si="32"/>
        <v>4400228130004</v>
      </c>
      <c r="F195" s="55" t="b">
        <f t="shared" si="34"/>
        <v>0</v>
      </c>
      <c r="G195" s="139">
        <f t="shared" si="35"/>
        <v>44926</v>
      </c>
      <c r="H195" s="105">
        <f>VLOOKUP( $A195, Aop!$A$2:$P$453, 4, 0)</f>
        <v>259</v>
      </c>
      <c r="I195" s="55">
        <f t="shared" si="33"/>
        <v>2022</v>
      </c>
      <c r="J195" s="55" t="str">
        <f t="shared" ca="1" si="30"/>
        <v/>
      </c>
      <c r="K195" s="55"/>
      <c r="L195" s="55"/>
      <c r="M195" s="55">
        <f t="shared" ca="1" si="29"/>
        <v>25643</v>
      </c>
      <c r="N195" s="55">
        <f t="shared" ca="1" si="36"/>
        <v>25643</v>
      </c>
    </row>
    <row r="196" spans="1:14" x14ac:dyDescent="0.3">
      <c r="A196" s="105">
        <v>198</v>
      </c>
      <c r="B196" s="55" t="str">
        <f>VLOOKUP( $A196, Aop!$A$2:$P$453, 2, 0)</f>
        <v>BUa</v>
      </c>
      <c r="C196" s="55">
        <v>27</v>
      </c>
      <c r="D196" s="55" t="str">
        <f>Podatak_MB</f>
        <v>01755633</v>
      </c>
      <c r="E196" s="55" t="str">
        <f>Podatak_JIB</f>
        <v>4400228130004</v>
      </c>
      <c r="F196" s="55" t="b">
        <f>Konsolidovan_izvjestaj</f>
        <v>0</v>
      </c>
      <c r="G196" s="139">
        <f>Datum_Broj</f>
        <v>44926</v>
      </c>
      <c r="H196" s="55">
        <f>VLOOKUP( $A196, Aop!$A$2:$P$453, 4, 0)</f>
        <v>260</v>
      </c>
      <c r="I196" s="55">
        <f>Godina</f>
        <v>2022</v>
      </c>
      <c r="J196" s="55" t="str">
        <f t="shared" ca="1" si="30"/>
        <v/>
      </c>
      <c r="K196" s="55"/>
      <c r="L196" s="55"/>
      <c r="M196" s="55" t="str">
        <f t="shared" ca="1" si="29"/>
        <v/>
      </c>
      <c r="N196" s="55" t="str">
        <f t="shared" ca="1" si="36"/>
        <v/>
      </c>
    </row>
    <row r="197" spans="1:14" x14ac:dyDescent="0.3">
      <c r="A197" s="105">
        <v>199</v>
      </c>
      <c r="B197" s="105" t="str">
        <f>VLOOKUP( $A197, Aop!$A$2:$P$453, 2, 0)</f>
        <v>BUa</v>
      </c>
      <c r="C197" s="55">
        <v>27</v>
      </c>
      <c r="D197" s="55" t="str">
        <f t="shared" si="31"/>
        <v>01755633</v>
      </c>
      <c r="E197" s="55" t="str">
        <f t="shared" si="32"/>
        <v>4400228130004</v>
      </c>
      <c r="F197" s="55" t="b">
        <f t="shared" si="34"/>
        <v>0</v>
      </c>
      <c r="G197" s="139">
        <f t="shared" si="35"/>
        <v>44926</v>
      </c>
      <c r="H197" s="105">
        <f>VLOOKUP( $A197, Aop!$A$2:$P$453, 4, 0)</f>
        <v>261</v>
      </c>
      <c r="I197" s="55">
        <f t="shared" si="33"/>
        <v>2022</v>
      </c>
      <c r="J197" s="55">
        <f t="shared" ca="1" si="30"/>
        <v>16</v>
      </c>
      <c r="K197" s="55"/>
      <c r="L197" s="55"/>
      <c r="M197" s="55">
        <f t="shared" ca="1" si="29"/>
        <v>491</v>
      </c>
      <c r="N197" s="55">
        <f t="shared" ca="1" si="36"/>
        <v>491</v>
      </c>
    </row>
    <row r="198" spans="1:14" x14ac:dyDescent="0.3">
      <c r="A198" s="105">
        <v>200</v>
      </c>
      <c r="B198" s="105" t="str">
        <f>VLOOKUP( $A198, Aop!$A$2:$P$453, 2, 0)</f>
        <v>BUa</v>
      </c>
      <c r="C198" s="55">
        <v>27</v>
      </c>
      <c r="D198" s="55" t="str">
        <f t="shared" si="31"/>
        <v>01755633</v>
      </c>
      <c r="E198" s="55" t="str">
        <f t="shared" si="32"/>
        <v>4400228130004</v>
      </c>
      <c r="F198" s="55" t="b">
        <f t="shared" si="34"/>
        <v>0</v>
      </c>
      <c r="G198" s="139">
        <f t="shared" si="35"/>
        <v>44926</v>
      </c>
      <c r="H198" s="105">
        <f>VLOOKUP( $A198, Aop!$A$2:$P$453, 4, 0)</f>
        <v>262</v>
      </c>
      <c r="I198" s="55">
        <f t="shared" si="33"/>
        <v>2022</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3">
      <c r="A199" s="105">
        <v>201</v>
      </c>
      <c r="B199" s="105" t="str">
        <f>VLOOKUP( $A199, Aop!$A$2:$P$453, 2, 0)</f>
        <v>BUa</v>
      </c>
      <c r="C199" s="55">
        <v>27</v>
      </c>
      <c r="D199" s="55" t="str">
        <f t="shared" si="31"/>
        <v>01755633</v>
      </c>
      <c r="E199" s="55" t="str">
        <f t="shared" si="32"/>
        <v>4400228130004</v>
      </c>
      <c r="F199" s="55" t="b">
        <f t="shared" si="34"/>
        <v>0</v>
      </c>
      <c r="G199" s="139">
        <f t="shared" si="35"/>
        <v>44926</v>
      </c>
      <c r="H199" s="105">
        <f>VLOOKUP( $A199, Aop!$A$2:$P$453, 4, 0)</f>
        <v>263</v>
      </c>
      <c r="I199" s="55">
        <f t="shared" si="33"/>
        <v>2022</v>
      </c>
      <c r="J199" s="55" t="str">
        <f t="shared" ca="1" si="30"/>
        <v/>
      </c>
      <c r="K199" s="55"/>
      <c r="L199" s="55"/>
      <c r="M199" s="55" t="str">
        <f t="shared" ca="1" si="37"/>
        <v/>
      </c>
      <c r="N199" s="55" t="str">
        <f t="shared" ca="1" si="36"/>
        <v/>
      </c>
    </row>
    <row r="200" spans="1:14" x14ac:dyDescent="0.3">
      <c r="A200" s="105">
        <v>202</v>
      </c>
      <c r="B200" s="105" t="str">
        <f>VLOOKUP( $A200, Aop!$A$2:$P$453, 2, 0)</f>
        <v>BUa</v>
      </c>
      <c r="C200" s="55">
        <v>27</v>
      </c>
      <c r="D200" s="55" t="str">
        <f t="shared" si="31"/>
        <v>01755633</v>
      </c>
      <c r="E200" s="55" t="str">
        <f t="shared" si="32"/>
        <v>4400228130004</v>
      </c>
      <c r="F200" s="55" t="b">
        <f t="shared" si="34"/>
        <v>0</v>
      </c>
      <c r="G200" s="139">
        <f t="shared" si="35"/>
        <v>44926</v>
      </c>
      <c r="H200" s="105">
        <f>VLOOKUP( $A200, Aop!$A$2:$P$453, 4, 0)</f>
        <v>264</v>
      </c>
      <c r="I200" s="55">
        <f t="shared" si="33"/>
        <v>2022</v>
      </c>
      <c r="J200" s="55" t="str">
        <f t="shared" ca="1" si="30"/>
        <v/>
      </c>
      <c r="K200" s="55"/>
      <c r="L200" s="55"/>
      <c r="M200" s="55" t="str">
        <f t="shared" ca="1" si="37"/>
        <v/>
      </c>
      <c r="N200" s="55" t="str">
        <f t="shared" ca="1" si="36"/>
        <v/>
      </c>
    </row>
    <row r="201" spans="1:14" x14ac:dyDescent="0.3">
      <c r="A201" s="105">
        <v>203</v>
      </c>
      <c r="B201" s="105" t="str">
        <f>VLOOKUP( $A201, Aop!$A$2:$P$453, 2, 0)</f>
        <v>BUa</v>
      </c>
      <c r="C201" s="55">
        <v>27</v>
      </c>
      <c r="D201" s="55" t="str">
        <f t="shared" si="31"/>
        <v>01755633</v>
      </c>
      <c r="E201" s="55" t="str">
        <f t="shared" si="32"/>
        <v>4400228130004</v>
      </c>
      <c r="F201" s="55" t="b">
        <f t="shared" si="34"/>
        <v>0</v>
      </c>
      <c r="G201" s="139">
        <f t="shared" si="35"/>
        <v>44926</v>
      </c>
      <c r="H201" s="105">
        <f>VLOOKUP( $A201, Aop!$A$2:$P$453, 4, 0)</f>
        <v>265</v>
      </c>
      <c r="I201" s="55">
        <f t="shared" si="33"/>
        <v>2022</v>
      </c>
      <c r="J201" s="55" t="str">
        <f t="shared" ca="1" si="30"/>
        <v/>
      </c>
      <c r="K201" s="55"/>
      <c r="L201" s="55"/>
      <c r="M201" s="55" t="str">
        <f t="shared" ca="1" si="37"/>
        <v/>
      </c>
      <c r="N201" s="55" t="str">
        <f t="shared" ca="1" si="36"/>
        <v/>
      </c>
    </row>
    <row r="202" spans="1:14" x14ac:dyDescent="0.3">
      <c r="A202" s="105">
        <v>204</v>
      </c>
      <c r="B202" s="105" t="str">
        <f>VLOOKUP( $A202, Aop!$A$2:$P$453, 2, 0)</f>
        <v>BUa</v>
      </c>
      <c r="C202" s="55">
        <v>27</v>
      </c>
      <c r="D202" s="55" t="str">
        <f t="shared" si="31"/>
        <v>01755633</v>
      </c>
      <c r="E202" s="55" t="str">
        <f t="shared" si="32"/>
        <v>4400228130004</v>
      </c>
      <c r="F202" s="55" t="b">
        <f t="shared" si="34"/>
        <v>0</v>
      </c>
      <c r="G202" s="139">
        <f t="shared" si="35"/>
        <v>44926</v>
      </c>
      <c r="H202" s="105">
        <f>VLOOKUP( $A202, Aop!$A$2:$P$453, 4, 0)</f>
        <v>266</v>
      </c>
      <c r="I202" s="55">
        <f t="shared" si="33"/>
        <v>2022</v>
      </c>
      <c r="J202" s="55" t="str">
        <f t="shared" ca="1" si="30"/>
        <v/>
      </c>
      <c r="K202" s="55"/>
      <c r="L202" s="55"/>
      <c r="M202" s="55" t="str">
        <f t="shared" ca="1" si="37"/>
        <v/>
      </c>
      <c r="N202" s="55" t="str">
        <f t="shared" ca="1" si="36"/>
        <v/>
      </c>
    </row>
    <row r="203" spans="1:14" x14ac:dyDescent="0.3">
      <c r="A203" s="105">
        <v>205</v>
      </c>
      <c r="B203" s="105" t="str">
        <f>VLOOKUP( $A203, Aop!$A$2:$P$453, 2, 0)</f>
        <v>BUa</v>
      </c>
      <c r="C203" s="55">
        <v>27</v>
      </c>
      <c r="D203" s="55" t="str">
        <f t="shared" si="31"/>
        <v>01755633</v>
      </c>
      <c r="E203" s="55" t="str">
        <f t="shared" si="32"/>
        <v>4400228130004</v>
      </c>
      <c r="F203" s="55" t="b">
        <f t="shared" si="34"/>
        <v>0</v>
      </c>
      <c r="G203" s="139">
        <f t="shared" si="35"/>
        <v>44926</v>
      </c>
      <c r="H203" s="105">
        <f>VLOOKUP( $A203, Aop!$A$2:$P$453, 4, 0)</f>
        <v>267</v>
      </c>
      <c r="I203" s="55">
        <f t="shared" si="33"/>
        <v>2022</v>
      </c>
      <c r="J203" s="55" t="str">
        <f t="shared" ca="1" si="30"/>
        <v/>
      </c>
      <c r="K203" s="55"/>
      <c r="L203" s="55"/>
      <c r="M203" s="55" t="str">
        <f t="shared" ca="1" si="37"/>
        <v/>
      </c>
      <c r="N203" s="55" t="str">
        <f t="shared" ca="1" si="36"/>
        <v/>
      </c>
    </row>
    <row r="204" spans="1:14" x14ac:dyDescent="0.3">
      <c r="A204" s="105">
        <v>206</v>
      </c>
      <c r="B204" s="105" t="str">
        <f>VLOOKUP( $A204, Aop!$A$2:$P$453, 2, 0)</f>
        <v>BUa</v>
      </c>
      <c r="C204" s="55">
        <v>27</v>
      </c>
      <c r="D204" s="55" t="str">
        <f t="shared" si="31"/>
        <v>01755633</v>
      </c>
      <c r="E204" s="55" t="str">
        <f t="shared" si="32"/>
        <v>4400228130004</v>
      </c>
      <c r="F204" s="55" t="b">
        <f t="shared" si="34"/>
        <v>0</v>
      </c>
      <c r="G204" s="139">
        <f t="shared" si="35"/>
        <v>44926</v>
      </c>
      <c r="H204" s="105">
        <f>VLOOKUP( $A204, Aop!$A$2:$P$453, 4, 0)</f>
        <v>268</v>
      </c>
      <c r="I204" s="55">
        <f t="shared" si="33"/>
        <v>2022</v>
      </c>
      <c r="J204" s="55" t="str">
        <f t="shared" ref="J204:J267" ca="1" si="38">IF( VLOOKUP( $H204, INDIRECT( "Lookup_" &amp; $B204), IF( LEFT( $B204, 2) = "BS", R$2, R$1), 0) = "", "", VLOOKUP( $H204, INDIRECT( "Lookup_" &amp; $B204), IF( $B204 = "BSp", R$2, R$1), 0))</f>
        <v/>
      </c>
      <c r="K204" s="55"/>
      <c r="L204" s="55"/>
      <c r="M204" s="55">
        <f t="shared" ca="1" si="37"/>
        <v>85</v>
      </c>
      <c r="N204" s="55">
        <f t="shared" ca="1" si="36"/>
        <v>85</v>
      </c>
    </row>
    <row r="205" spans="1:14" x14ac:dyDescent="0.3">
      <c r="A205" s="105">
        <v>208</v>
      </c>
      <c r="B205" s="105" t="str">
        <f>VLOOKUP( $A205, Aop!$A$2:$P$453, 2, 0)</f>
        <v>BUa</v>
      </c>
      <c r="C205" s="55">
        <v>27</v>
      </c>
      <c r="D205" s="55" t="str">
        <f t="shared" si="31"/>
        <v>01755633</v>
      </c>
      <c r="E205" s="55" t="str">
        <f t="shared" si="32"/>
        <v>4400228130004</v>
      </c>
      <c r="F205" s="55" t="b">
        <f t="shared" si="34"/>
        <v>0</v>
      </c>
      <c r="G205" s="139">
        <f t="shared" si="35"/>
        <v>44926</v>
      </c>
      <c r="H205" s="105">
        <f>VLOOKUP( $A205, Aop!$A$2:$P$453, 4, 0)</f>
        <v>270</v>
      </c>
      <c r="I205" s="55">
        <f t="shared" si="33"/>
        <v>2022</v>
      </c>
      <c r="J205" s="55" t="str">
        <f t="shared" ca="1" si="38"/>
        <v/>
      </c>
      <c r="K205" s="55"/>
      <c r="L205" s="55"/>
      <c r="M205" s="55">
        <f t="shared" ca="1" si="37"/>
        <v>406</v>
      </c>
      <c r="N205" s="55">
        <f t="shared" ca="1" si="36"/>
        <v>406</v>
      </c>
    </row>
    <row r="206" spans="1:14" x14ac:dyDescent="0.3">
      <c r="A206" s="105">
        <v>209</v>
      </c>
      <c r="B206" s="105" t="str">
        <f>VLOOKUP( $A206, Aop!$A$2:$P$453, 2, 0)</f>
        <v>BUa</v>
      </c>
      <c r="C206" s="55">
        <v>27</v>
      </c>
      <c r="D206" s="55" t="str">
        <f t="shared" si="31"/>
        <v>01755633</v>
      </c>
      <c r="E206" s="55" t="str">
        <f t="shared" si="32"/>
        <v>4400228130004</v>
      </c>
      <c r="F206" s="55" t="b">
        <f t="shared" si="34"/>
        <v>0</v>
      </c>
      <c r="G206" s="139">
        <f t="shared" si="35"/>
        <v>44926</v>
      </c>
      <c r="H206" s="105">
        <f>VLOOKUP( $A206, Aop!$A$2:$P$453, 4, 0)</f>
        <v>271</v>
      </c>
      <c r="I206" s="55">
        <f t="shared" si="33"/>
        <v>2022</v>
      </c>
      <c r="J206" s="55" t="str">
        <f t="shared" ca="1" si="38"/>
        <v/>
      </c>
      <c r="K206" s="55"/>
      <c r="L206" s="55"/>
      <c r="M206" s="55">
        <f t="shared" ca="1" si="37"/>
        <v>25934</v>
      </c>
      <c r="N206" s="55">
        <f t="shared" ca="1" si="36"/>
        <v>25934</v>
      </c>
    </row>
    <row r="207" spans="1:14" x14ac:dyDescent="0.3">
      <c r="A207" s="105">
        <v>210</v>
      </c>
      <c r="B207" s="105" t="str">
        <f>VLOOKUP( $A207, Aop!$A$2:$P$453, 2, 0)</f>
        <v>BUa</v>
      </c>
      <c r="C207" s="55">
        <v>27</v>
      </c>
      <c r="D207" s="55" t="str">
        <f t="shared" si="31"/>
        <v>01755633</v>
      </c>
      <c r="E207" s="55" t="str">
        <f t="shared" si="32"/>
        <v>4400228130004</v>
      </c>
      <c r="F207" s="55" t="b">
        <f t="shared" si="34"/>
        <v>0</v>
      </c>
      <c r="G207" s="139">
        <f t="shared" si="35"/>
        <v>44926</v>
      </c>
      <c r="H207" s="105">
        <f>VLOOKUP( $A207, Aop!$A$2:$P$453, 4, 0)</f>
        <v>272</v>
      </c>
      <c r="I207" s="55">
        <f t="shared" si="33"/>
        <v>2022</v>
      </c>
      <c r="J207" s="55" t="str">
        <f t="shared" ca="1" si="38"/>
        <v/>
      </c>
      <c r="K207" s="55"/>
      <c r="L207" s="55"/>
      <c r="M207" s="55">
        <f t="shared" ca="1" si="37"/>
        <v>0</v>
      </c>
      <c r="N207" s="55">
        <f t="shared" ca="1" si="36"/>
        <v>0</v>
      </c>
    </row>
    <row r="208" spans="1:14" x14ac:dyDescent="0.3">
      <c r="A208" s="105">
        <v>211</v>
      </c>
      <c r="B208" s="105" t="str">
        <f>VLOOKUP( $A208, Aop!$A$2:$P$453, 2, 0)</f>
        <v>BUa</v>
      </c>
      <c r="C208" s="55">
        <v>27</v>
      </c>
      <c r="D208" s="55" t="str">
        <f t="shared" si="31"/>
        <v>01755633</v>
      </c>
      <c r="E208" s="55" t="str">
        <f t="shared" si="32"/>
        <v>4400228130004</v>
      </c>
      <c r="F208" s="55" t="b">
        <f t="shared" si="34"/>
        <v>0</v>
      </c>
      <c r="G208" s="139">
        <f t="shared" si="35"/>
        <v>44926</v>
      </c>
      <c r="H208" s="105">
        <f>VLOOKUP( $A208, Aop!$A$2:$P$453, 4, 0)</f>
        <v>273</v>
      </c>
      <c r="I208" s="55">
        <f t="shared" si="33"/>
        <v>2022</v>
      </c>
      <c r="J208" s="55" t="str">
        <f t="shared" ca="1" si="38"/>
        <v/>
      </c>
      <c r="K208" s="55"/>
      <c r="L208" s="55"/>
      <c r="M208" s="55">
        <f t="shared" ca="1" si="37"/>
        <v>0</v>
      </c>
      <c r="N208" s="55">
        <f t="shared" ca="1" si="36"/>
        <v>0</v>
      </c>
    </row>
    <row r="209" spans="1:14" x14ac:dyDescent="0.3">
      <c r="A209" s="105">
        <v>212</v>
      </c>
      <c r="B209" s="105" t="str">
        <f>VLOOKUP( $A209, Aop!$A$2:$P$453, 2, 0)</f>
        <v>BUa</v>
      </c>
      <c r="C209" s="55">
        <v>27</v>
      </c>
      <c r="D209" s="55" t="str">
        <f t="shared" si="31"/>
        <v>01755633</v>
      </c>
      <c r="E209" s="55" t="str">
        <f t="shared" si="32"/>
        <v>4400228130004</v>
      </c>
      <c r="F209" s="55" t="b">
        <f t="shared" si="34"/>
        <v>0</v>
      </c>
      <c r="G209" s="139">
        <f t="shared" si="35"/>
        <v>44926</v>
      </c>
      <c r="H209" s="105">
        <f>VLOOKUP( $A209, Aop!$A$2:$P$453, 4, 0)</f>
        <v>274</v>
      </c>
      <c r="I209" s="55">
        <f t="shared" si="33"/>
        <v>2022</v>
      </c>
      <c r="J209" s="55" t="str">
        <f t="shared" ca="1" si="38"/>
        <v/>
      </c>
      <c r="K209" s="55"/>
      <c r="L209" s="55"/>
      <c r="M209" s="55">
        <f t="shared" ca="1" si="37"/>
        <v>0</v>
      </c>
      <c r="N209" s="55">
        <f t="shared" ca="1" si="36"/>
        <v>0</v>
      </c>
    </row>
    <row r="210" spans="1:14" x14ac:dyDescent="0.3">
      <c r="A210" s="105">
        <v>213</v>
      </c>
      <c r="B210" s="105" t="str">
        <f>VLOOKUP( $A210, Aop!$A$2:$P$453, 2, 0)</f>
        <v>BUa</v>
      </c>
      <c r="C210" s="55">
        <v>27</v>
      </c>
      <c r="D210" s="55" t="str">
        <f t="shared" si="31"/>
        <v>01755633</v>
      </c>
      <c r="E210" s="55" t="str">
        <f t="shared" si="32"/>
        <v>4400228130004</v>
      </c>
      <c r="F210" s="55" t="b">
        <f t="shared" si="34"/>
        <v>0</v>
      </c>
      <c r="G210" s="139">
        <f t="shared" si="35"/>
        <v>44926</v>
      </c>
      <c r="H210" s="105">
        <f>VLOOKUP( $A210, Aop!$A$2:$P$453, 4, 0)</f>
        <v>275</v>
      </c>
      <c r="I210" s="55">
        <f t="shared" si="33"/>
        <v>2022</v>
      </c>
      <c r="J210" s="55" t="str">
        <f t="shared" ca="1" si="38"/>
        <v/>
      </c>
      <c r="K210" s="55"/>
      <c r="L210" s="55"/>
      <c r="M210" s="55" t="str">
        <f t="shared" ca="1" si="37"/>
        <v/>
      </c>
      <c r="N210" s="55" t="str">
        <f t="shared" ca="1" si="36"/>
        <v/>
      </c>
    </row>
    <row r="211" spans="1:14" x14ac:dyDescent="0.3">
      <c r="A211" s="105">
        <v>214</v>
      </c>
      <c r="B211" s="105" t="str">
        <f>VLOOKUP( $A211, Aop!$A$2:$P$453, 2, 0)</f>
        <v>BUa</v>
      </c>
      <c r="C211" s="55">
        <v>27</v>
      </c>
      <c r="D211" s="55" t="str">
        <f t="shared" si="31"/>
        <v>01755633</v>
      </c>
      <c r="E211" s="55" t="str">
        <f t="shared" si="32"/>
        <v>4400228130004</v>
      </c>
      <c r="F211" s="55" t="b">
        <f t="shared" si="34"/>
        <v>0</v>
      </c>
      <c r="G211" s="139">
        <f t="shared" si="35"/>
        <v>44926</v>
      </c>
      <c r="H211" s="105">
        <f>VLOOKUP( $A211, Aop!$A$2:$P$453, 4, 0)</f>
        <v>276</v>
      </c>
      <c r="I211" s="55">
        <f t="shared" si="33"/>
        <v>2022</v>
      </c>
      <c r="J211" s="55" t="str">
        <f t="shared" ca="1" si="38"/>
        <v/>
      </c>
      <c r="K211" s="55"/>
      <c r="L211" s="55"/>
      <c r="M211" s="55" t="str">
        <f t="shared" ca="1" si="37"/>
        <v/>
      </c>
      <c r="N211" s="55" t="str">
        <f t="shared" ca="1" si="36"/>
        <v/>
      </c>
    </row>
    <row r="212" spans="1:14" x14ac:dyDescent="0.3">
      <c r="A212" s="105">
        <v>215</v>
      </c>
      <c r="B212" s="105" t="str">
        <f>VLOOKUP( $A212, Aop!$A$2:$P$453, 2, 0)</f>
        <v>BUa</v>
      </c>
      <c r="C212" s="55">
        <v>27</v>
      </c>
      <c r="D212" s="55" t="str">
        <f t="shared" si="31"/>
        <v>01755633</v>
      </c>
      <c r="E212" s="55" t="str">
        <f t="shared" si="32"/>
        <v>4400228130004</v>
      </c>
      <c r="F212" s="55" t="b">
        <f t="shared" si="34"/>
        <v>0</v>
      </c>
      <c r="G212" s="139">
        <f t="shared" si="35"/>
        <v>44926</v>
      </c>
      <c r="H212" s="105">
        <f>VLOOKUP( $A212, Aop!$A$2:$P$453, 4, 0)</f>
        <v>277</v>
      </c>
      <c r="I212" s="55">
        <f t="shared" si="33"/>
        <v>2022</v>
      </c>
      <c r="J212" s="55" t="str">
        <f t="shared" ca="1" si="38"/>
        <v/>
      </c>
      <c r="K212" s="55"/>
      <c r="L212" s="55"/>
      <c r="M212" s="55" t="str">
        <f t="shared" ca="1" si="37"/>
        <v/>
      </c>
      <c r="N212" s="55" t="str">
        <f t="shared" ca="1" si="36"/>
        <v/>
      </c>
    </row>
    <row r="213" spans="1:14" x14ac:dyDescent="0.3">
      <c r="A213" s="105">
        <v>216</v>
      </c>
      <c r="B213" s="105" t="str">
        <f>VLOOKUP( $A213, Aop!$A$2:$P$453, 2, 0)</f>
        <v>BUa</v>
      </c>
      <c r="C213" s="55">
        <v>27</v>
      </c>
      <c r="D213" s="55" t="str">
        <f t="shared" si="31"/>
        <v>01755633</v>
      </c>
      <c r="E213" s="55" t="str">
        <f t="shared" si="32"/>
        <v>4400228130004</v>
      </c>
      <c r="F213" s="55" t="b">
        <f t="shared" si="34"/>
        <v>0</v>
      </c>
      <c r="G213" s="139">
        <f t="shared" si="35"/>
        <v>44926</v>
      </c>
      <c r="H213" s="105">
        <f>VLOOKUP( $A213, Aop!$A$2:$P$453, 4, 0)</f>
        <v>278</v>
      </c>
      <c r="I213" s="55">
        <f t="shared" si="33"/>
        <v>2022</v>
      </c>
      <c r="J213" s="55" t="str">
        <f t="shared" ca="1" si="38"/>
        <v/>
      </c>
      <c r="K213" s="55"/>
      <c r="L213" s="55"/>
      <c r="M213" s="55" t="str">
        <f t="shared" ca="1" si="37"/>
        <v/>
      </c>
      <c r="N213" s="55" t="str">
        <f t="shared" ca="1" si="36"/>
        <v/>
      </c>
    </row>
    <row r="214" spans="1:14" x14ac:dyDescent="0.3">
      <c r="A214" s="105">
        <v>217</v>
      </c>
      <c r="B214" s="105" t="str">
        <f>VLOOKUP( $A214, Aop!$A$2:$P$453, 2, 0)</f>
        <v>BUa</v>
      </c>
      <c r="C214" s="55">
        <v>27</v>
      </c>
      <c r="D214" s="55" t="str">
        <f t="shared" si="31"/>
        <v>01755633</v>
      </c>
      <c r="E214" s="55" t="str">
        <f t="shared" si="32"/>
        <v>4400228130004</v>
      </c>
      <c r="F214" s="55" t="b">
        <f t="shared" si="34"/>
        <v>0</v>
      </c>
      <c r="G214" s="139">
        <f t="shared" si="35"/>
        <v>44926</v>
      </c>
      <c r="H214" s="105">
        <f>VLOOKUP( $A214, Aop!$A$2:$P$453, 4, 0)</f>
        <v>279</v>
      </c>
      <c r="I214" s="55">
        <f t="shared" si="33"/>
        <v>2022</v>
      </c>
      <c r="J214" s="55" t="str">
        <f t="shared" ca="1" si="38"/>
        <v/>
      </c>
      <c r="K214" s="55"/>
      <c r="L214" s="55"/>
      <c r="M214" s="55" t="str">
        <f t="shared" ca="1" si="37"/>
        <v/>
      </c>
      <c r="N214" s="55" t="str">
        <f t="shared" ca="1" si="36"/>
        <v/>
      </c>
    </row>
    <row r="215" spans="1:14" x14ac:dyDescent="0.3">
      <c r="A215" s="105">
        <v>218</v>
      </c>
      <c r="B215" s="105" t="str">
        <f>VLOOKUP( $A215, Aop!$A$2:$P$453, 2, 0)</f>
        <v>BUa</v>
      </c>
      <c r="C215" s="55">
        <v>27</v>
      </c>
      <c r="D215" s="55" t="str">
        <f t="shared" si="31"/>
        <v>01755633</v>
      </c>
      <c r="E215" s="55" t="str">
        <f t="shared" si="32"/>
        <v>4400228130004</v>
      </c>
      <c r="F215" s="55" t="b">
        <f t="shared" si="34"/>
        <v>0</v>
      </c>
      <c r="G215" s="139">
        <f t="shared" si="35"/>
        <v>44926</v>
      </c>
      <c r="H215" s="105">
        <f>VLOOKUP( $A215, Aop!$A$2:$P$453, 4, 0)</f>
        <v>280</v>
      </c>
      <c r="I215" s="55">
        <f t="shared" si="33"/>
        <v>2022</v>
      </c>
      <c r="J215" s="55" t="str">
        <f t="shared" ca="1" si="38"/>
        <v/>
      </c>
      <c r="K215" s="55"/>
      <c r="L215" s="55"/>
      <c r="M215" s="55" t="str">
        <f t="shared" ca="1" si="37"/>
        <v/>
      </c>
      <c r="N215" s="55" t="str">
        <f t="shared" ca="1" si="36"/>
        <v/>
      </c>
    </row>
    <row r="216" spans="1:14" x14ac:dyDescent="0.3">
      <c r="A216" s="105">
        <v>219</v>
      </c>
      <c r="B216" s="105" t="str">
        <f>VLOOKUP( $A216, Aop!$A$2:$P$453, 2, 0)</f>
        <v>BUa</v>
      </c>
      <c r="C216" s="55">
        <v>27</v>
      </c>
      <c r="D216" s="55" t="str">
        <f t="shared" si="31"/>
        <v>01755633</v>
      </c>
      <c r="E216" s="55" t="str">
        <f t="shared" si="32"/>
        <v>4400228130004</v>
      </c>
      <c r="F216" s="55" t="b">
        <f t="shared" si="34"/>
        <v>0</v>
      </c>
      <c r="G216" s="139">
        <f t="shared" si="35"/>
        <v>44926</v>
      </c>
      <c r="H216" s="105">
        <f>VLOOKUP( $A216, Aop!$A$2:$P$453, 4, 0)</f>
        <v>281</v>
      </c>
      <c r="I216" s="55">
        <f t="shared" si="33"/>
        <v>2022</v>
      </c>
      <c r="J216" s="55" t="str">
        <f t="shared" ca="1" si="38"/>
        <v/>
      </c>
      <c r="K216" s="55"/>
      <c r="L216" s="55"/>
      <c r="M216" s="55">
        <f t="shared" ca="1" si="37"/>
        <v>0</v>
      </c>
      <c r="N216" s="55">
        <f t="shared" ca="1" si="36"/>
        <v>0</v>
      </c>
    </row>
    <row r="217" spans="1:14" x14ac:dyDescent="0.3">
      <c r="A217" s="105">
        <v>220</v>
      </c>
      <c r="B217" s="105" t="str">
        <f>VLOOKUP( $A217, Aop!$A$2:$P$453, 2, 0)</f>
        <v>BUa</v>
      </c>
      <c r="C217" s="55">
        <v>27</v>
      </c>
      <c r="D217" s="55" t="str">
        <f t="shared" si="31"/>
        <v>01755633</v>
      </c>
      <c r="E217" s="55" t="str">
        <f t="shared" si="32"/>
        <v>4400228130004</v>
      </c>
      <c r="F217" s="55" t="b">
        <f t="shared" si="34"/>
        <v>0</v>
      </c>
      <c r="G217" s="139">
        <f t="shared" si="35"/>
        <v>44926</v>
      </c>
      <c r="H217" s="105">
        <f>VLOOKUP( $A217, Aop!$A$2:$P$453, 4, 0)</f>
        <v>282</v>
      </c>
      <c r="I217" s="55">
        <f t="shared" si="33"/>
        <v>2022</v>
      </c>
      <c r="J217" s="55" t="str">
        <f t="shared" ca="1" si="38"/>
        <v/>
      </c>
      <c r="K217" s="55"/>
      <c r="L217" s="55"/>
      <c r="M217" s="55" t="str">
        <f t="shared" ca="1" si="37"/>
        <v/>
      </c>
      <c r="N217" s="55" t="str">
        <f t="shared" ca="1" si="36"/>
        <v/>
      </c>
    </row>
    <row r="218" spans="1:14" x14ac:dyDescent="0.3">
      <c r="A218" s="105">
        <v>221</v>
      </c>
      <c r="B218" s="55" t="str">
        <f>VLOOKUP( $A218, Aop!$A$2:$P$453, 2, 0)</f>
        <v>BUa</v>
      </c>
      <c r="C218" s="55">
        <v>27</v>
      </c>
      <c r="D218" s="55" t="str">
        <f>Podatak_MB</f>
        <v>01755633</v>
      </c>
      <c r="E218" s="55" t="str">
        <f>Podatak_JIB</f>
        <v>4400228130004</v>
      </c>
      <c r="F218" s="55" t="b">
        <f>Konsolidovan_izvjestaj</f>
        <v>0</v>
      </c>
      <c r="G218" s="139">
        <f>Datum_Broj</f>
        <v>44926</v>
      </c>
      <c r="H218" s="55">
        <f>VLOOKUP( $A218, Aop!$A$2:$P$453, 4, 0)</f>
        <v>283</v>
      </c>
      <c r="I218" s="55">
        <f>Godina</f>
        <v>2022</v>
      </c>
      <c r="J218" s="55" t="str">
        <f t="shared" ca="1" si="38"/>
        <v/>
      </c>
      <c r="K218" s="55"/>
      <c r="L218" s="55"/>
      <c r="M218" s="55" t="str">
        <f t="shared" ca="1" si="37"/>
        <v/>
      </c>
      <c r="N218" s="55" t="str">
        <f t="shared" ca="1" si="36"/>
        <v/>
      </c>
    </row>
    <row r="219" spans="1:14" x14ac:dyDescent="0.3">
      <c r="A219" s="105">
        <v>222</v>
      </c>
      <c r="B219" s="105" t="str">
        <f>VLOOKUP( $A219, Aop!$A$2:$P$453, 2, 0)</f>
        <v>BUa</v>
      </c>
      <c r="C219" s="55">
        <v>27</v>
      </c>
      <c r="D219" s="55" t="str">
        <f t="shared" si="31"/>
        <v>01755633</v>
      </c>
      <c r="E219" s="55" t="str">
        <f t="shared" si="32"/>
        <v>4400228130004</v>
      </c>
      <c r="F219" s="55" t="b">
        <f t="shared" si="34"/>
        <v>0</v>
      </c>
      <c r="G219" s="139">
        <f t="shared" si="35"/>
        <v>44926</v>
      </c>
      <c r="H219" s="105">
        <f>VLOOKUP( $A219, Aop!$A$2:$P$453, 4, 0)</f>
        <v>284</v>
      </c>
      <c r="I219" s="55">
        <f t="shared" si="33"/>
        <v>2022</v>
      </c>
      <c r="J219" s="55" t="str">
        <f t="shared" ca="1" si="38"/>
        <v/>
      </c>
      <c r="K219" s="55"/>
      <c r="L219" s="55"/>
      <c r="M219" s="55" t="str">
        <f t="shared" ca="1" si="37"/>
        <v/>
      </c>
      <c r="N219" s="55" t="str">
        <f t="shared" ca="1" si="36"/>
        <v/>
      </c>
    </row>
    <row r="220" spans="1:14" x14ac:dyDescent="0.3">
      <c r="A220" s="105">
        <v>223</v>
      </c>
      <c r="B220" s="105" t="str">
        <f>VLOOKUP( $A220, Aop!$A$2:$P$453, 2, 0)</f>
        <v>BUa</v>
      </c>
      <c r="C220" s="55">
        <v>27</v>
      </c>
      <c r="D220" s="55" t="str">
        <f t="shared" si="31"/>
        <v>01755633</v>
      </c>
      <c r="E220" s="55" t="str">
        <f t="shared" si="32"/>
        <v>4400228130004</v>
      </c>
      <c r="F220" s="55" t="b">
        <f t="shared" si="34"/>
        <v>0</v>
      </c>
      <c r="G220" s="139">
        <f t="shared" si="35"/>
        <v>44926</v>
      </c>
      <c r="H220" s="105">
        <f>VLOOKUP( $A220, Aop!$A$2:$P$453, 4, 0)</f>
        <v>285</v>
      </c>
      <c r="I220" s="55">
        <f t="shared" si="33"/>
        <v>2022</v>
      </c>
      <c r="J220" s="55" t="str">
        <f t="shared" ca="1" si="38"/>
        <v/>
      </c>
      <c r="K220" s="55"/>
      <c r="L220" s="55"/>
      <c r="M220" s="55" t="str">
        <f t="shared" ca="1" si="37"/>
        <v/>
      </c>
      <c r="N220" s="55" t="str">
        <f t="shared" ca="1" si="36"/>
        <v/>
      </c>
    </row>
    <row r="221" spans="1:14" x14ac:dyDescent="0.3">
      <c r="A221" s="105">
        <v>224</v>
      </c>
      <c r="B221" s="55" t="str">
        <f>VLOOKUP( $A221, Aop!$A$2:$P$453, 2, 0)</f>
        <v>BUa</v>
      </c>
      <c r="C221" s="55">
        <v>27</v>
      </c>
      <c r="D221" s="55" t="str">
        <f>Podatak_MB</f>
        <v>01755633</v>
      </c>
      <c r="E221" s="55" t="str">
        <f>Podatak_JIB</f>
        <v>4400228130004</v>
      </c>
      <c r="F221" s="55" t="b">
        <f>Konsolidovan_izvjestaj</f>
        <v>0</v>
      </c>
      <c r="G221" s="139">
        <f>Datum_Broj</f>
        <v>44926</v>
      </c>
      <c r="H221" s="55">
        <f>VLOOKUP( $A221, Aop!$A$2:$P$453, 4, 0)</f>
        <v>286</v>
      </c>
      <c r="I221" s="55">
        <f>Godina</f>
        <v>2022</v>
      </c>
      <c r="J221" s="55" t="str">
        <f t="shared" ca="1" si="38"/>
        <v/>
      </c>
      <c r="K221" s="55"/>
      <c r="L221" s="55"/>
      <c r="M221" s="55">
        <f t="shared" ca="1" si="37"/>
        <v>0</v>
      </c>
      <c r="N221" s="55">
        <f t="shared" ca="1" si="36"/>
        <v>0</v>
      </c>
    </row>
    <row r="222" spans="1:14" x14ac:dyDescent="0.3">
      <c r="A222" s="105">
        <v>225</v>
      </c>
      <c r="B222" s="105" t="str">
        <f>VLOOKUP( $A222, Aop!$A$2:$P$453, 2, 0)</f>
        <v>BUa</v>
      </c>
      <c r="C222" s="55">
        <v>27</v>
      </c>
      <c r="D222" s="55" t="str">
        <f t="shared" si="31"/>
        <v>01755633</v>
      </c>
      <c r="E222" s="55" t="str">
        <f t="shared" si="32"/>
        <v>4400228130004</v>
      </c>
      <c r="F222" s="55" t="b">
        <f t="shared" si="34"/>
        <v>0</v>
      </c>
      <c r="G222" s="139">
        <f t="shared" si="35"/>
        <v>44926</v>
      </c>
      <c r="H222" s="105">
        <f>VLOOKUP( $A222, Aop!$A$2:$P$453, 4, 0)</f>
        <v>287</v>
      </c>
      <c r="I222" s="55">
        <f t="shared" si="33"/>
        <v>2022</v>
      </c>
      <c r="J222" s="55" t="str">
        <f t="shared" ca="1" si="38"/>
        <v/>
      </c>
      <c r="K222" s="55"/>
      <c r="L222" s="55"/>
      <c r="M222" s="55">
        <f t="shared" ca="1" si="37"/>
        <v>0</v>
      </c>
      <c r="N222" s="55">
        <f t="shared" ca="1" si="36"/>
        <v>0</v>
      </c>
    </row>
    <row r="223" spans="1:14" x14ac:dyDescent="0.3">
      <c r="A223" s="105">
        <v>226</v>
      </c>
      <c r="B223" s="105" t="str">
        <f>VLOOKUP( $A223, Aop!$A$2:$P$453, 2, 0)</f>
        <v>BUa</v>
      </c>
      <c r="C223" s="55">
        <v>27</v>
      </c>
      <c r="D223" s="55" t="str">
        <f t="shared" si="31"/>
        <v>01755633</v>
      </c>
      <c r="E223" s="55" t="str">
        <f t="shared" si="32"/>
        <v>4400228130004</v>
      </c>
      <c r="F223" s="55" t="b">
        <f t="shared" si="34"/>
        <v>0</v>
      </c>
      <c r="G223" s="139">
        <f t="shared" si="35"/>
        <v>44926</v>
      </c>
      <c r="H223" s="105">
        <f>VLOOKUP( $A223, Aop!$A$2:$P$453, 4, 0)</f>
        <v>288</v>
      </c>
      <c r="I223" s="55">
        <f t="shared" si="33"/>
        <v>2022</v>
      </c>
      <c r="J223" s="55" t="str">
        <f t="shared" ca="1" si="38"/>
        <v/>
      </c>
      <c r="K223" s="55"/>
      <c r="L223" s="55"/>
      <c r="M223" s="55" t="str">
        <f t="shared" ca="1" si="37"/>
        <v/>
      </c>
      <c r="N223" s="55" t="str">
        <f t="shared" ca="1" si="36"/>
        <v/>
      </c>
    </row>
    <row r="224" spans="1:14" x14ac:dyDescent="0.3">
      <c r="A224" s="105">
        <v>227</v>
      </c>
      <c r="B224" s="55" t="str">
        <f>VLOOKUP( $A224, Aop!$A$2:$P$453, 2, 0)</f>
        <v>BUa</v>
      </c>
      <c r="C224" s="55">
        <v>27</v>
      </c>
      <c r="D224" s="55" t="str">
        <f>Podatak_MB</f>
        <v>01755633</v>
      </c>
      <c r="E224" s="55" t="str">
        <f>Podatak_JIB</f>
        <v>4400228130004</v>
      </c>
      <c r="F224" s="55" t="b">
        <f>Konsolidovan_izvjestaj</f>
        <v>0</v>
      </c>
      <c r="G224" s="139">
        <f>Datum_Broj</f>
        <v>44926</v>
      </c>
      <c r="H224" s="55">
        <f>VLOOKUP( $A224, Aop!$A$2:$P$453, 4, 0)</f>
        <v>289</v>
      </c>
      <c r="I224" s="55">
        <f>Godina</f>
        <v>2022</v>
      </c>
      <c r="J224" s="55" t="str">
        <f t="shared" ca="1" si="38"/>
        <v/>
      </c>
      <c r="K224" s="55"/>
      <c r="L224" s="55"/>
      <c r="M224" s="55" t="str">
        <f t="shared" ca="1" si="37"/>
        <v/>
      </c>
      <c r="N224" s="55" t="str">
        <f t="shared" ca="1" si="36"/>
        <v/>
      </c>
    </row>
    <row r="225" spans="1:14" x14ac:dyDescent="0.3">
      <c r="A225" s="105">
        <v>228</v>
      </c>
      <c r="B225" s="105" t="str">
        <f>VLOOKUP( $A225, Aop!$A$2:$P$453, 2, 0)</f>
        <v>BUa</v>
      </c>
      <c r="C225" s="55">
        <v>27</v>
      </c>
      <c r="D225" s="55" t="str">
        <f t="shared" si="31"/>
        <v>01755633</v>
      </c>
      <c r="E225" s="55" t="str">
        <f t="shared" si="32"/>
        <v>4400228130004</v>
      </c>
      <c r="F225" s="55" t="b">
        <f t="shared" si="34"/>
        <v>0</v>
      </c>
      <c r="G225" s="139">
        <f t="shared" si="35"/>
        <v>44926</v>
      </c>
      <c r="H225" s="105">
        <f>VLOOKUP( $A225, Aop!$A$2:$P$453, 4, 0)</f>
        <v>290</v>
      </c>
      <c r="I225" s="55">
        <f t="shared" si="33"/>
        <v>2022</v>
      </c>
      <c r="J225" s="55" t="str">
        <f t="shared" ca="1" si="38"/>
        <v/>
      </c>
      <c r="K225" s="55"/>
      <c r="L225" s="55"/>
      <c r="M225" s="55" t="str">
        <f t="shared" ca="1" si="37"/>
        <v/>
      </c>
      <c r="N225" s="55" t="str">
        <f t="shared" ca="1" si="36"/>
        <v/>
      </c>
    </row>
    <row r="226" spans="1:14" x14ac:dyDescent="0.3">
      <c r="A226" s="105">
        <v>229</v>
      </c>
      <c r="B226" s="105" t="str">
        <f>VLOOKUP( $A226, Aop!$A$2:$P$453, 2, 0)</f>
        <v>BUa</v>
      </c>
      <c r="C226" s="55">
        <v>27</v>
      </c>
      <c r="D226" s="55" t="str">
        <f t="shared" si="31"/>
        <v>01755633</v>
      </c>
      <c r="E226" s="55" t="str">
        <f t="shared" si="32"/>
        <v>4400228130004</v>
      </c>
      <c r="F226" s="55" t="b">
        <f t="shared" si="34"/>
        <v>0</v>
      </c>
      <c r="G226" s="139">
        <f t="shared" si="35"/>
        <v>44926</v>
      </c>
      <c r="H226" s="105">
        <f>VLOOKUP( $A226, Aop!$A$2:$P$453, 4, 0)</f>
        <v>291</v>
      </c>
      <c r="I226" s="55">
        <f t="shared" si="33"/>
        <v>2022</v>
      </c>
      <c r="J226" s="55" t="str">
        <f t="shared" ca="1" si="38"/>
        <v/>
      </c>
      <c r="K226" s="55"/>
      <c r="L226" s="55"/>
      <c r="M226" s="55" t="str">
        <f t="shared" ca="1" si="37"/>
        <v/>
      </c>
      <c r="N226" s="55" t="str">
        <f t="shared" ca="1" si="36"/>
        <v/>
      </c>
    </row>
    <row r="227" spans="1:14" x14ac:dyDescent="0.3">
      <c r="A227" s="105">
        <v>230</v>
      </c>
      <c r="B227" s="105" t="str">
        <f>VLOOKUP( $A227, Aop!$A$2:$P$453, 2, 0)</f>
        <v>BUa</v>
      </c>
      <c r="C227" s="55">
        <v>27</v>
      </c>
      <c r="D227" s="55" t="str">
        <f t="shared" si="31"/>
        <v>01755633</v>
      </c>
      <c r="E227" s="55" t="str">
        <f t="shared" si="32"/>
        <v>4400228130004</v>
      </c>
      <c r="F227" s="55" t="b">
        <f t="shared" si="34"/>
        <v>0</v>
      </c>
      <c r="G227" s="139">
        <f t="shared" si="35"/>
        <v>44926</v>
      </c>
      <c r="H227" s="105">
        <f>VLOOKUP( $A227, Aop!$A$2:$P$453, 4, 0)</f>
        <v>292</v>
      </c>
      <c r="I227" s="55">
        <f t="shared" si="33"/>
        <v>2022</v>
      </c>
      <c r="J227" s="55" t="str">
        <f t="shared" ca="1" si="38"/>
        <v/>
      </c>
      <c r="K227" s="55"/>
      <c r="L227" s="55"/>
      <c r="M227" s="55" t="str">
        <f t="shared" ca="1" si="37"/>
        <v/>
      </c>
      <c r="N227" s="55" t="str">
        <f t="shared" ca="1" si="36"/>
        <v/>
      </c>
    </row>
    <row r="228" spans="1:14" x14ac:dyDescent="0.3">
      <c r="A228" s="105">
        <v>231</v>
      </c>
      <c r="B228" s="105" t="str">
        <f>VLOOKUP( $A228, Aop!$A$2:$P$453, 2, 0)</f>
        <v>BUa</v>
      </c>
      <c r="C228" s="55">
        <v>27</v>
      </c>
      <c r="D228" s="55" t="str">
        <f t="shared" si="31"/>
        <v>01755633</v>
      </c>
      <c r="E228" s="55" t="str">
        <f t="shared" si="32"/>
        <v>4400228130004</v>
      </c>
      <c r="F228" s="55" t="b">
        <f t="shared" si="34"/>
        <v>0</v>
      </c>
      <c r="G228" s="139">
        <f t="shared" si="35"/>
        <v>44926</v>
      </c>
      <c r="H228" s="105">
        <f>VLOOKUP( $A228, Aop!$A$2:$P$453, 4, 0)</f>
        <v>293</v>
      </c>
      <c r="I228" s="55">
        <f t="shared" si="33"/>
        <v>2022</v>
      </c>
      <c r="J228" s="55" t="str">
        <f t="shared" ca="1" si="38"/>
        <v/>
      </c>
      <c r="K228" s="55"/>
      <c r="L228" s="55"/>
      <c r="M228" s="55" t="str">
        <f t="shared" ca="1" si="37"/>
        <v/>
      </c>
      <c r="N228" s="55" t="str">
        <f t="shared" ca="1" si="36"/>
        <v/>
      </c>
    </row>
    <row r="229" spans="1:14" x14ac:dyDescent="0.3">
      <c r="A229" s="105">
        <v>233</v>
      </c>
      <c r="B229" s="105" t="str">
        <f>VLOOKUP( $A229, Aop!$A$2:$P$453, 2, 0)</f>
        <v>BUa</v>
      </c>
      <c r="C229" s="55">
        <v>27</v>
      </c>
      <c r="D229" s="55" t="str">
        <f t="shared" si="31"/>
        <v>01755633</v>
      </c>
      <c r="E229" s="55" t="str">
        <f t="shared" si="32"/>
        <v>4400228130004</v>
      </c>
      <c r="F229" s="55" t="b">
        <f t="shared" si="34"/>
        <v>0</v>
      </c>
      <c r="G229" s="139">
        <f t="shared" si="35"/>
        <v>44926</v>
      </c>
      <c r="H229" s="105">
        <f>VLOOKUP( $A229, Aop!$A$2:$P$453, 4, 0)</f>
        <v>295</v>
      </c>
      <c r="I229" s="55">
        <f t="shared" si="33"/>
        <v>2022</v>
      </c>
      <c r="J229" s="55" t="str">
        <f t="shared" ca="1" si="38"/>
        <v/>
      </c>
      <c r="K229" s="55"/>
      <c r="L229" s="55"/>
      <c r="M229" s="55" t="str">
        <f t="shared" ca="1" si="37"/>
        <v/>
      </c>
      <c r="N229" s="55" t="str">
        <f t="shared" ca="1" si="36"/>
        <v/>
      </c>
    </row>
    <row r="230" spans="1:14" x14ac:dyDescent="0.3">
      <c r="A230" s="105">
        <v>234</v>
      </c>
      <c r="B230" s="105" t="str">
        <f>VLOOKUP( $A230, Aop!$A$2:$P$453, 2, 0)</f>
        <v>BUa</v>
      </c>
      <c r="C230" s="55">
        <v>27</v>
      </c>
      <c r="D230" s="55" t="str">
        <f t="shared" si="31"/>
        <v>01755633</v>
      </c>
      <c r="E230" s="55" t="str">
        <f t="shared" si="32"/>
        <v>4400228130004</v>
      </c>
      <c r="F230" s="55" t="b">
        <f t="shared" si="34"/>
        <v>0</v>
      </c>
      <c r="G230" s="139">
        <f t="shared" si="35"/>
        <v>44926</v>
      </c>
      <c r="H230" s="105">
        <f>VLOOKUP( $A230, Aop!$A$2:$P$453, 4, 0)</f>
        <v>296</v>
      </c>
      <c r="I230" s="55">
        <f t="shared" si="33"/>
        <v>2022</v>
      </c>
      <c r="J230" s="55" t="str">
        <f t="shared" ca="1" si="38"/>
        <v/>
      </c>
      <c r="K230" s="55"/>
      <c r="L230" s="55"/>
      <c r="M230" s="55" t="str">
        <f t="shared" ca="1" si="37"/>
        <v/>
      </c>
      <c r="N230" s="55" t="str">
        <f t="shared" ca="1" si="36"/>
        <v/>
      </c>
    </row>
    <row r="231" spans="1:14" x14ac:dyDescent="0.3">
      <c r="A231" s="105">
        <v>236</v>
      </c>
      <c r="B231" s="105" t="str">
        <f>VLOOKUP( $A231, Aop!$A$2:$P$453, 2, 0)</f>
        <v>BUa</v>
      </c>
      <c r="C231" s="55">
        <v>27</v>
      </c>
      <c r="D231" s="55" t="str">
        <f t="shared" si="31"/>
        <v>01755633</v>
      </c>
      <c r="E231" s="55" t="str">
        <f t="shared" si="32"/>
        <v>4400228130004</v>
      </c>
      <c r="F231" s="55" t="b">
        <f t="shared" si="34"/>
        <v>0</v>
      </c>
      <c r="G231" s="139">
        <f t="shared" si="35"/>
        <v>44926</v>
      </c>
      <c r="H231" s="105">
        <f>VLOOKUP( $A231, Aop!$A$2:$P$453, 4, 0)</f>
        <v>298</v>
      </c>
      <c r="I231" s="55">
        <f t="shared" si="33"/>
        <v>2022</v>
      </c>
      <c r="J231" s="55" t="str">
        <f t="shared" ca="1" si="38"/>
        <v/>
      </c>
      <c r="K231" s="55"/>
      <c r="L231" s="55"/>
      <c r="M231" s="55" t="str">
        <f t="shared" ca="1" si="37"/>
        <v/>
      </c>
      <c r="N231" s="55" t="str">
        <f t="shared" ca="1" si="36"/>
        <v/>
      </c>
    </row>
    <row r="232" spans="1:14" x14ac:dyDescent="0.3">
      <c r="A232" s="105">
        <v>237</v>
      </c>
      <c r="B232" s="105" t="str">
        <f>VLOOKUP( $A232, Aop!$A$2:$P$453, 2, 0)</f>
        <v>BUa</v>
      </c>
      <c r="C232" s="55">
        <v>27</v>
      </c>
      <c r="D232" s="55" t="str">
        <f t="shared" si="31"/>
        <v>01755633</v>
      </c>
      <c r="E232" s="55" t="str">
        <f t="shared" si="32"/>
        <v>4400228130004</v>
      </c>
      <c r="F232" s="55" t="b">
        <f t="shared" si="34"/>
        <v>0</v>
      </c>
      <c r="G232" s="139">
        <f t="shared" si="35"/>
        <v>44926</v>
      </c>
      <c r="H232" s="105">
        <f>VLOOKUP( $A232, Aop!$A$2:$P$453, 4, 0)</f>
        <v>299</v>
      </c>
      <c r="I232" s="55">
        <f t="shared" si="33"/>
        <v>2022</v>
      </c>
      <c r="J232" s="55" t="str">
        <f t="shared" ca="1" si="38"/>
        <v/>
      </c>
      <c r="K232" s="55"/>
      <c r="L232" s="55"/>
      <c r="M232" s="55">
        <f t="shared" ca="1" si="37"/>
        <v>0</v>
      </c>
      <c r="N232" s="55">
        <f t="shared" ca="1" si="36"/>
        <v>0</v>
      </c>
    </row>
    <row r="233" spans="1:14" x14ac:dyDescent="0.3">
      <c r="A233" s="105">
        <v>238</v>
      </c>
      <c r="B233" s="105" t="str">
        <f>VLOOKUP( $A233, Aop!$A$2:$P$453, 2, 0)</f>
        <v>BUa</v>
      </c>
      <c r="C233" s="55">
        <v>27</v>
      </c>
      <c r="D233" s="55" t="str">
        <f t="shared" si="31"/>
        <v>01755633</v>
      </c>
      <c r="E233" s="55" t="str">
        <f t="shared" si="32"/>
        <v>4400228130004</v>
      </c>
      <c r="F233" s="55" t="b">
        <f t="shared" si="34"/>
        <v>0</v>
      </c>
      <c r="G233" s="139">
        <f t="shared" si="35"/>
        <v>44926</v>
      </c>
      <c r="H233" s="105">
        <f>VLOOKUP( $A233, Aop!$A$2:$P$453, 4, 0)</f>
        <v>300</v>
      </c>
      <c r="I233" s="55">
        <f t="shared" si="33"/>
        <v>2022</v>
      </c>
      <c r="J233" s="55" t="str">
        <f t="shared" ca="1" si="38"/>
        <v/>
      </c>
      <c r="K233" s="55"/>
      <c r="L233" s="55"/>
      <c r="M233" s="55">
        <f t="shared" ca="1" si="37"/>
        <v>0</v>
      </c>
      <c r="N233" s="55">
        <f t="shared" ca="1" si="36"/>
        <v>0</v>
      </c>
    </row>
    <row r="234" spans="1:14" x14ac:dyDescent="0.3">
      <c r="A234" s="105">
        <v>240</v>
      </c>
      <c r="B234" s="105" t="str">
        <f>VLOOKUP( $A234, Aop!$A$2:$P$453, 2, 0)</f>
        <v>BUa</v>
      </c>
      <c r="C234" s="55">
        <v>27</v>
      </c>
      <c r="D234" s="55" t="str">
        <f t="shared" si="31"/>
        <v>01755633</v>
      </c>
      <c r="E234" s="55" t="str">
        <f t="shared" si="32"/>
        <v>4400228130004</v>
      </c>
      <c r="F234" s="55" t="b">
        <f t="shared" si="34"/>
        <v>0</v>
      </c>
      <c r="G234" s="139">
        <f t="shared" si="35"/>
        <v>44926</v>
      </c>
      <c r="H234" s="105">
        <f>VLOOKUP( $A234, Aop!$A$2:$P$453, 4, 0)</f>
        <v>302</v>
      </c>
      <c r="I234" s="55">
        <f t="shared" si="33"/>
        <v>2022</v>
      </c>
      <c r="J234" s="55" t="str">
        <f t="shared" ca="1" si="38"/>
        <v/>
      </c>
      <c r="K234" s="55"/>
      <c r="L234" s="55"/>
      <c r="M234" s="55" t="str">
        <f t="shared" ca="1" si="37"/>
        <v/>
      </c>
      <c r="N234" s="55" t="str">
        <f t="shared" ca="1" si="36"/>
        <v/>
      </c>
    </row>
    <row r="235" spans="1:14" x14ac:dyDescent="0.3">
      <c r="A235" s="105">
        <v>241</v>
      </c>
      <c r="B235" s="105" t="str">
        <f>VLOOKUP( $A235, Aop!$A$2:$P$453, 2, 0)</f>
        <v>BUa</v>
      </c>
      <c r="C235" s="55">
        <v>27</v>
      </c>
      <c r="D235" s="55" t="str">
        <f t="shared" si="31"/>
        <v>01755633</v>
      </c>
      <c r="E235" s="55" t="str">
        <f t="shared" si="32"/>
        <v>4400228130004</v>
      </c>
      <c r="F235" s="55" t="b">
        <f t="shared" si="34"/>
        <v>0</v>
      </c>
      <c r="G235" s="139">
        <f t="shared" si="35"/>
        <v>44926</v>
      </c>
      <c r="H235" s="105">
        <f>VLOOKUP( $A235, Aop!$A$2:$P$453, 4, 0)</f>
        <v>303</v>
      </c>
      <c r="I235" s="55">
        <f t="shared" si="33"/>
        <v>2022</v>
      </c>
      <c r="J235" s="55" t="str">
        <f t="shared" ca="1" si="38"/>
        <v/>
      </c>
      <c r="K235" s="55"/>
      <c r="L235" s="55"/>
      <c r="M235" s="55" t="str">
        <f t="shared" ca="1" si="37"/>
        <v/>
      </c>
      <c r="N235" s="55" t="str">
        <f t="shared" ca="1" si="36"/>
        <v/>
      </c>
    </row>
    <row r="236" spans="1:14" x14ac:dyDescent="0.3">
      <c r="A236" s="105">
        <v>242</v>
      </c>
      <c r="B236" s="105" t="str">
        <f>VLOOKUP( $A236, Aop!$A$2:$P$453, 2, 0)</f>
        <v>BUa</v>
      </c>
      <c r="C236" s="55">
        <v>27</v>
      </c>
      <c r="D236" s="55" t="str">
        <f t="shared" si="31"/>
        <v>01755633</v>
      </c>
      <c r="E236" s="55" t="str">
        <f t="shared" si="32"/>
        <v>4400228130004</v>
      </c>
      <c r="F236" s="55" t="b">
        <f t="shared" si="34"/>
        <v>0</v>
      </c>
      <c r="G236" s="139">
        <f t="shared" si="35"/>
        <v>44926</v>
      </c>
      <c r="H236" s="105">
        <f>VLOOKUP( $A236, Aop!$A$2:$P$453, 4, 0)</f>
        <v>304</v>
      </c>
      <c r="I236" s="55">
        <f t="shared" si="33"/>
        <v>2022</v>
      </c>
      <c r="J236" s="55" t="str">
        <f t="shared" ca="1" si="38"/>
        <v/>
      </c>
      <c r="K236" s="55"/>
      <c r="L236" s="55"/>
      <c r="M236" s="55" t="str">
        <f t="shared" ca="1" si="37"/>
        <v/>
      </c>
      <c r="N236" s="55" t="str">
        <f t="shared" ca="1" si="36"/>
        <v/>
      </c>
    </row>
    <row r="237" spans="1:14" x14ac:dyDescent="0.3">
      <c r="A237" s="105">
        <v>243</v>
      </c>
      <c r="B237" s="105" t="str">
        <f>VLOOKUP( $A237, Aop!$A$2:$P$453, 2, 0)</f>
        <v>BUa</v>
      </c>
      <c r="C237" s="55">
        <v>27</v>
      </c>
      <c r="D237" s="55" t="str">
        <f t="shared" si="31"/>
        <v>01755633</v>
      </c>
      <c r="E237" s="55" t="str">
        <f t="shared" si="32"/>
        <v>4400228130004</v>
      </c>
      <c r="F237" s="55" t="b">
        <f t="shared" si="34"/>
        <v>0</v>
      </c>
      <c r="G237" s="139">
        <f t="shared" si="35"/>
        <v>44926</v>
      </c>
      <c r="H237" s="105">
        <f>VLOOKUP( $A237, Aop!$A$2:$P$453, 4, 0)</f>
        <v>305</v>
      </c>
      <c r="I237" s="55">
        <f t="shared" si="33"/>
        <v>2022</v>
      </c>
      <c r="J237" s="55" t="str">
        <f t="shared" ca="1" si="38"/>
        <v/>
      </c>
      <c r="K237" s="55"/>
      <c r="L237" s="55"/>
      <c r="M237" s="55">
        <f t="shared" ca="1" si="37"/>
        <v>4054317</v>
      </c>
      <c r="N237" s="55">
        <f t="shared" ca="1" si="36"/>
        <v>4054317</v>
      </c>
    </row>
    <row r="238" spans="1:14" x14ac:dyDescent="0.3">
      <c r="A238" s="105">
        <v>244</v>
      </c>
      <c r="B238" s="105" t="str">
        <f>VLOOKUP( $A238, Aop!$A$2:$P$453, 2, 0)</f>
        <v>BUa</v>
      </c>
      <c r="C238" s="55">
        <v>27</v>
      </c>
      <c r="D238" s="55" t="str">
        <f t="shared" si="31"/>
        <v>01755633</v>
      </c>
      <c r="E238" s="55" t="str">
        <f t="shared" si="32"/>
        <v>4400228130004</v>
      </c>
      <c r="F238" s="55" t="b">
        <f t="shared" si="34"/>
        <v>0</v>
      </c>
      <c r="G238" s="139">
        <f t="shared" si="35"/>
        <v>44926</v>
      </c>
      <c r="H238" s="105">
        <f>VLOOKUP( $A238, Aop!$A$2:$P$453, 4, 0)</f>
        <v>306</v>
      </c>
      <c r="I238" s="55">
        <f t="shared" si="33"/>
        <v>2022</v>
      </c>
      <c r="J238" s="55" t="str">
        <f t="shared" ca="1" si="38"/>
        <v/>
      </c>
      <c r="K238" s="55"/>
      <c r="L238" s="55"/>
      <c r="M238" s="55">
        <f t="shared" ca="1" si="37"/>
        <v>3599369</v>
      </c>
      <c r="N238" s="55">
        <f t="shared" ca="1" si="36"/>
        <v>3599369</v>
      </c>
    </row>
    <row r="239" spans="1:14" x14ac:dyDescent="0.3">
      <c r="A239" s="105">
        <v>245</v>
      </c>
      <c r="B239" s="105" t="str">
        <f>VLOOKUP( $A239, Aop!$A$2:$P$453, 2, 0)</f>
        <v>BUa</v>
      </c>
      <c r="C239" s="55">
        <v>27</v>
      </c>
      <c r="D239" s="55" t="str">
        <f t="shared" si="31"/>
        <v>01755633</v>
      </c>
      <c r="E239" s="55" t="str">
        <f t="shared" si="32"/>
        <v>4400228130004</v>
      </c>
      <c r="F239" s="55" t="b">
        <f t="shared" si="34"/>
        <v>0</v>
      </c>
      <c r="G239" s="139">
        <f t="shared" si="35"/>
        <v>44926</v>
      </c>
      <c r="H239" s="105">
        <f>VLOOKUP( $A239, Aop!$A$2:$P$453, 4, 0)</f>
        <v>307</v>
      </c>
      <c r="I239" s="55">
        <f t="shared" si="33"/>
        <v>2022</v>
      </c>
      <c r="J239" s="55" t="str">
        <f t="shared" ca="1" si="38"/>
        <v/>
      </c>
      <c r="K239" s="55"/>
      <c r="L239" s="55"/>
      <c r="M239" s="55">
        <f t="shared" ca="1" si="37"/>
        <v>454948</v>
      </c>
      <c r="N239" s="55">
        <f t="shared" ca="1" si="36"/>
        <v>454948</v>
      </c>
    </row>
    <row r="240" spans="1:14" x14ac:dyDescent="0.3">
      <c r="A240" s="105">
        <v>246</v>
      </c>
      <c r="B240" s="105" t="str">
        <f>VLOOKUP( $A240, Aop!$A$2:$P$453, 2, 0)</f>
        <v>BUa</v>
      </c>
      <c r="C240" s="55">
        <v>27</v>
      </c>
      <c r="D240" s="55" t="str">
        <f t="shared" si="31"/>
        <v>01755633</v>
      </c>
      <c r="E240" s="55" t="str">
        <f t="shared" si="32"/>
        <v>4400228130004</v>
      </c>
      <c r="F240" s="55" t="b">
        <f t="shared" si="34"/>
        <v>0</v>
      </c>
      <c r="G240" s="139">
        <f t="shared" si="35"/>
        <v>44926</v>
      </c>
      <c r="H240" s="105">
        <f>VLOOKUP( $A240, Aop!$A$2:$P$453, 4, 0)</f>
        <v>308</v>
      </c>
      <c r="I240" s="55">
        <f t="shared" si="33"/>
        <v>2022</v>
      </c>
      <c r="J240" s="55" t="str">
        <f t="shared" ca="1" si="38"/>
        <v/>
      </c>
      <c r="K240" s="55"/>
      <c r="L240" s="55"/>
      <c r="M240" s="55">
        <f t="shared" ca="1" si="37"/>
        <v>0</v>
      </c>
      <c r="N240" s="55">
        <f t="shared" ca="1" si="36"/>
        <v>0</v>
      </c>
    </row>
    <row r="241" spans="1:14" x14ac:dyDescent="0.3">
      <c r="A241" s="105">
        <v>247</v>
      </c>
      <c r="B241" s="105" t="str">
        <f>VLOOKUP( $A241, Aop!$A$2:$P$453, 2, 0)</f>
        <v>BUa</v>
      </c>
      <c r="C241" s="55">
        <v>27</v>
      </c>
      <c r="D241" s="55" t="str">
        <f t="shared" si="31"/>
        <v>01755633</v>
      </c>
      <c r="E241" s="55" t="str">
        <f t="shared" si="32"/>
        <v>4400228130004</v>
      </c>
      <c r="F241" s="55" t="b">
        <f t="shared" si="34"/>
        <v>0</v>
      </c>
      <c r="G241" s="139">
        <f t="shared" si="35"/>
        <v>44926</v>
      </c>
      <c r="H241" s="105">
        <f>VLOOKUP( $A241, Aop!$A$2:$P$453, 4, 0)</f>
        <v>309</v>
      </c>
      <c r="I241" s="55">
        <f t="shared" si="33"/>
        <v>2022</v>
      </c>
      <c r="J241" s="55" t="str">
        <f t="shared" ca="1" si="38"/>
        <v/>
      </c>
      <c r="K241" s="55"/>
      <c r="L241" s="55"/>
      <c r="M241" s="55" t="str">
        <f t="shared" ca="1" si="37"/>
        <v/>
      </c>
      <c r="N241" s="55" t="str">
        <f t="shared" ca="1" si="36"/>
        <v/>
      </c>
    </row>
    <row r="242" spans="1:14" x14ac:dyDescent="0.3">
      <c r="A242" s="105">
        <v>248</v>
      </c>
      <c r="B242" s="105" t="str">
        <f>VLOOKUP( $A242, Aop!$A$2:$P$453, 2, 0)</f>
        <v>BUa</v>
      </c>
      <c r="C242" s="55">
        <v>27</v>
      </c>
      <c r="D242" s="55" t="str">
        <f t="shared" si="31"/>
        <v>01755633</v>
      </c>
      <c r="E242" s="55" t="str">
        <f t="shared" si="32"/>
        <v>4400228130004</v>
      </c>
      <c r="F242" s="55" t="b">
        <f t="shared" si="34"/>
        <v>0</v>
      </c>
      <c r="G242" s="139">
        <f t="shared" si="35"/>
        <v>44926</v>
      </c>
      <c r="H242" s="105">
        <f>VLOOKUP( $A242, Aop!$A$2:$P$453, 4, 0)</f>
        <v>310</v>
      </c>
      <c r="I242" s="55">
        <f t="shared" si="33"/>
        <v>2022</v>
      </c>
      <c r="J242" s="55" t="str">
        <f t="shared" ca="1" si="38"/>
        <v/>
      </c>
      <c r="K242" s="55"/>
      <c r="L242" s="55"/>
      <c r="M242" s="55">
        <f t="shared" ca="1" si="37"/>
        <v>0</v>
      </c>
      <c r="N242" s="55">
        <f t="shared" ca="1" si="36"/>
        <v>0</v>
      </c>
    </row>
    <row r="243" spans="1:14" x14ac:dyDescent="0.3">
      <c r="A243" s="105">
        <v>249</v>
      </c>
      <c r="B243" s="105" t="str">
        <f>VLOOKUP( $A243, Aop!$A$2:$P$453, 2, 0)</f>
        <v>BUa</v>
      </c>
      <c r="C243" s="55">
        <v>27</v>
      </c>
      <c r="D243" s="55" t="str">
        <f t="shared" si="31"/>
        <v>01755633</v>
      </c>
      <c r="E243" s="55" t="str">
        <f t="shared" si="32"/>
        <v>4400228130004</v>
      </c>
      <c r="F243" s="55" t="b">
        <f t="shared" si="34"/>
        <v>0</v>
      </c>
      <c r="G243" s="139">
        <f t="shared" si="35"/>
        <v>44926</v>
      </c>
      <c r="H243" s="105">
        <f>VLOOKUP( $A243, Aop!$A$2:$P$453, 4, 0)</f>
        <v>311</v>
      </c>
      <c r="I243" s="55">
        <f t="shared" si="33"/>
        <v>2022</v>
      </c>
      <c r="J243" s="55" t="str">
        <f t="shared" ca="1" si="38"/>
        <v/>
      </c>
      <c r="K243" s="55"/>
      <c r="L243" s="55"/>
      <c r="M243" s="55" t="str">
        <f t="shared" ca="1" si="37"/>
        <v/>
      </c>
      <c r="N243" s="55" t="str">
        <f t="shared" ca="1" si="36"/>
        <v/>
      </c>
    </row>
    <row r="244" spans="1:14" x14ac:dyDescent="0.3">
      <c r="A244" s="105">
        <v>250</v>
      </c>
      <c r="B244" s="105" t="str">
        <f>VLOOKUP( $A244, Aop!$A$2:$P$453, 2, 0)</f>
        <v>BUa</v>
      </c>
      <c r="C244" s="55">
        <v>27</v>
      </c>
      <c r="D244" s="55" t="str">
        <f t="shared" si="31"/>
        <v>01755633</v>
      </c>
      <c r="E244" s="55" t="str">
        <f t="shared" si="32"/>
        <v>4400228130004</v>
      </c>
      <c r="F244" s="55" t="b">
        <f t="shared" si="34"/>
        <v>0</v>
      </c>
      <c r="G244" s="139">
        <f t="shared" si="35"/>
        <v>44926</v>
      </c>
      <c r="H244" s="105">
        <f>VLOOKUP( $A244, Aop!$A$2:$P$453, 4, 0)</f>
        <v>312</v>
      </c>
      <c r="I244" s="55">
        <f t="shared" si="33"/>
        <v>2022</v>
      </c>
      <c r="J244" s="55" t="str">
        <f t="shared" ca="1" si="38"/>
        <v/>
      </c>
      <c r="K244" s="55"/>
      <c r="L244" s="55"/>
      <c r="M244" s="55" t="str">
        <f t="shared" ca="1" si="37"/>
        <v/>
      </c>
      <c r="N244" s="55" t="str">
        <f t="shared" ca="1" si="36"/>
        <v/>
      </c>
    </row>
    <row r="245" spans="1:14" x14ac:dyDescent="0.3">
      <c r="A245" s="105">
        <v>251</v>
      </c>
      <c r="B245" s="105" t="str">
        <f>VLOOKUP( $A245, Aop!$A$2:$P$453, 2, 0)</f>
        <v>BUa</v>
      </c>
      <c r="C245" s="55">
        <v>27</v>
      </c>
      <c r="D245" s="55" t="str">
        <f t="shared" si="31"/>
        <v>01755633</v>
      </c>
      <c r="E245" s="55" t="str">
        <f t="shared" si="32"/>
        <v>4400228130004</v>
      </c>
      <c r="F245" s="55" t="b">
        <f t="shared" si="34"/>
        <v>0</v>
      </c>
      <c r="G245" s="139">
        <f t="shared" si="35"/>
        <v>44926</v>
      </c>
      <c r="H245" s="105">
        <f>VLOOKUP( $A245, Aop!$A$2:$P$453, 4, 0)</f>
        <v>313</v>
      </c>
      <c r="I245" s="55">
        <f t="shared" si="33"/>
        <v>2022</v>
      </c>
      <c r="J245" s="55" t="str">
        <f t="shared" ca="1" si="38"/>
        <v/>
      </c>
      <c r="K245" s="55"/>
      <c r="L245" s="55"/>
      <c r="M245" s="55">
        <f t="shared" ca="1" si="37"/>
        <v>0</v>
      </c>
      <c r="N245" s="55">
        <f t="shared" ca="1" si="36"/>
        <v>0</v>
      </c>
    </row>
    <row r="246" spans="1:14" x14ac:dyDescent="0.3">
      <c r="A246" s="105">
        <v>252</v>
      </c>
      <c r="B246" s="105" t="str">
        <f>VLOOKUP( $A246, Aop!$A$2:$P$453, 2, 0)</f>
        <v>BUa</v>
      </c>
      <c r="C246" s="55">
        <v>27</v>
      </c>
      <c r="D246" s="55" t="str">
        <f t="shared" si="31"/>
        <v>01755633</v>
      </c>
      <c r="E246" s="55" t="str">
        <f t="shared" si="32"/>
        <v>4400228130004</v>
      </c>
      <c r="F246" s="55" t="b">
        <f t="shared" si="34"/>
        <v>0</v>
      </c>
      <c r="G246" s="139">
        <f t="shared" si="35"/>
        <v>44926</v>
      </c>
      <c r="H246" s="105">
        <f>VLOOKUP( $A246, Aop!$A$2:$P$453, 4, 0)</f>
        <v>314</v>
      </c>
      <c r="I246" s="55">
        <f t="shared" si="33"/>
        <v>2022</v>
      </c>
      <c r="J246" s="55" t="str">
        <f t="shared" ca="1" si="38"/>
        <v/>
      </c>
      <c r="K246" s="55"/>
      <c r="L246" s="55"/>
      <c r="M246" s="55" t="str">
        <f t="shared" ca="1" si="37"/>
        <v/>
      </c>
      <c r="N246" s="55" t="str">
        <f t="shared" ca="1" si="36"/>
        <v/>
      </c>
    </row>
    <row r="247" spans="1:14" x14ac:dyDescent="0.3">
      <c r="A247" s="105">
        <v>253</v>
      </c>
      <c r="B247" s="105" t="str">
        <f>VLOOKUP( $A247, Aop!$A$2:$P$453, 2, 0)</f>
        <v>BUa</v>
      </c>
      <c r="C247" s="55">
        <v>27</v>
      </c>
      <c r="D247" s="55" t="str">
        <f t="shared" si="31"/>
        <v>01755633</v>
      </c>
      <c r="E247" s="55" t="str">
        <f t="shared" si="32"/>
        <v>4400228130004</v>
      </c>
      <c r="F247" s="55" t="b">
        <f t="shared" si="34"/>
        <v>0</v>
      </c>
      <c r="G247" s="139">
        <f t="shared" si="35"/>
        <v>44926</v>
      </c>
      <c r="H247" s="105">
        <f>VLOOKUP( $A247, Aop!$A$2:$P$453, 4, 0)</f>
        <v>315</v>
      </c>
      <c r="I247" s="55">
        <f t="shared" si="33"/>
        <v>2022</v>
      </c>
      <c r="J247" s="55" t="str">
        <f t="shared" ca="1" si="38"/>
        <v/>
      </c>
      <c r="K247" s="55"/>
      <c r="L247" s="55"/>
      <c r="M247" s="55" t="str">
        <f t="shared" ca="1" si="37"/>
        <v/>
      </c>
      <c r="N247" s="55" t="str">
        <f t="shared" ca="1" si="36"/>
        <v/>
      </c>
    </row>
    <row r="248" spans="1:14" x14ac:dyDescent="0.3">
      <c r="A248" s="105">
        <v>254</v>
      </c>
      <c r="B248" s="55" t="str">
        <f>VLOOKUP( $A248, Aop!$A$2:$P$453, 2, 0)</f>
        <v>BUa</v>
      </c>
      <c r="C248" s="55">
        <v>27</v>
      </c>
      <c r="D248" s="55" t="str">
        <f>Podatak_MB</f>
        <v>01755633</v>
      </c>
      <c r="E248" s="55" t="str">
        <f>Podatak_JIB</f>
        <v>4400228130004</v>
      </c>
      <c r="F248" s="55" t="b">
        <f>Konsolidovan_izvjestaj</f>
        <v>0</v>
      </c>
      <c r="G248" s="139">
        <f>Datum_Broj</f>
        <v>44926</v>
      </c>
      <c r="H248" s="55">
        <f>VLOOKUP( $A248, Aop!$A$2:$P$453, 4, 0)</f>
        <v>316</v>
      </c>
      <c r="I248" s="55">
        <f>Godina</f>
        <v>2022</v>
      </c>
      <c r="J248" s="55">
        <f t="shared" ca="1" si="38"/>
        <v>18</v>
      </c>
      <c r="K248" s="55"/>
      <c r="L248" s="55"/>
      <c r="M248" s="55">
        <f t="shared" ca="1" si="37"/>
        <v>454948</v>
      </c>
      <c r="N248" s="55">
        <f t="shared" ca="1" si="36"/>
        <v>454948</v>
      </c>
    </row>
    <row r="249" spans="1:14" x14ac:dyDescent="0.3">
      <c r="A249" s="105">
        <v>255</v>
      </c>
      <c r="B249" s="105" t="str">
        <f>VLOOKUP( $A249, Aop!$A$2:$P$453, 2, 0)</f>
        <v>BUa</v>
      </c>
      <c r="C249" s="55">
        <v>27</v>
      </c>
      <c r="D249" s="55" t="str">
        <f t="shared" si="31"/>
        <v>01755633</v>
      </c>
      <c r="E249" s="55" t="str">
        <f t="shared" si="32"/>
        <v>4400228130004</v>
      </c>
      <c r="F249" s="55" t="b">
        <f t="shared" si="34"/>
        <v>0</v>
      </c>
      <c r="G249" s="139">
        <f t="shared" si="35"/>
        <v>44926</v>
      </c>
      <c r="H249" s="105">
        <f>VLOOKUP( $A249, Aop!$A$2:$P$453, 4, 0)</f>
        <v>317</v>
      </c>
      <c r="I249" s="55">
        <f t="shared" si="33"/>
        <v>2022</v>
      </c>
      <c r="J249" s="55" t="str">
        <f t="shared" ca="1" si="38"/>
        <v/>
      </c>
      <c r="K249" s="55"/>
      <c r="L249" s="55"/>
      <c r="M249" s="55">
        <f t="shared" ca="1" si="37"/>
        <v>0</v>
      </c>
      <c r="N249" s="55">
        <f t="shared" ca="1" si="36"/>
        <v>0</v>
      </c>
    </row>
    <row r="250" spans="1:14" x14ac:dyDescent="0.3">
      <c r="A250" s="105">
        <v>256</v>
      </c>
      <c r="B250" s="105" t="str">
        <f>VLOOKUP( $A250, Aop!$A$2:$P$453, 2, 0)</f>
        <v>BUa</v>
      </c>
      <c r="C250" s="55">
        <v>27</v>
      </c>
      <c r="D250" s="55" t="str">
        <f t="shared" si="31"/>
        <v>01755633</v>
      </c>
      <c r="E250" s="55" t="str">
        <f t="shared" si="32"/>
        <v>4400228130004</v>
      </c>
      <c r="F250" s="55" t="b">
        <f t="shared" si="34"/>
        <v>0</v>
      </c>
      <c r="G250" s="139">
        <f t="shared" si="35"/>
        <v>44926</v>
      </c>
      <c r="H250" s="105">
        <f>VLOOKUP( $A250, Aop!$A$2:$P$453, 4, 0)</f>
        <v>318</v>
      </c>
      <c r="I250" s="55">
        <f t="shared" si="33"/>
        <v>2022</v>
      </c>
      <c r="J250" s="55" t="str">
        <f t="shared" ca="1" si="38"/>
        <v/>
      </c>
      <c r="K250" s="55"/>
      <c r="L250" s="55"/>
      <c r="M250" s="55" t="str">
        <f t="shared" ca="1" si="37"/>
        <v/>
      </c>
      <c r="N250" s="55" t="str">
        <f t="shared" ca="1" si="36"/>
        <v/>
      </c>
    </row>
    <row r="251" spans="1:14" x14ac:dyDescent="0.3">
      <c r="A251" s="105">
        <v>257</v>
      </c>
      <c r="B251" s="55" t="str">
        <f>VLOOKUP( $A251, Aop!$A$2:$P$453, 2, 0)</f>
        <v>BUa</v>
      </c>
      <c r="C251" s="55">
        <v>27</v>
      </c>
      <c r="D251" s="55" t="str">
        <f>Podatak_MB</f>
        <v>01755633</v>
      </c>
      <c r="E251" s="55" t="str">
        <f>Podatak_JIB</f>
        <v>4400228130004</v>
      </c>
      <c r="F251" s="55" t="b">
        <f>Konsolidovan_izvjestaj</f>
        <v>0</v>
      </c>
      <c r="G251" s="139">
        <f>Datum_Broj</f>
        <v>44926</v>
      </c>
      <c r="H251" s="55">
        <f>VLOOKUP( $A251, Aop!$A$2:$P$453, 4, 0)</f>
        <v>319</v>
      </c>
      <c r="I251" s="55">
        <f>Godina</f>
        <v>2022</v>
      </c>
      <c r="J251" s="55" t="str">
        <f t="shared" ca="1" si="38"/>
        <v/>
      </c>
      <c r="K251" s="55"/>
      <c r="L251" s="55"/>
      <c r="M251" s="55" t="str">
        <f t="shared" ca="1" si="37"/>
        <v/>
      </c>
      <c r="N251" s="55" t="str">
        <f t="shared" ca="1" si="36"/>
        <v/>
      </c>
    </row>
    <row r="252" spans="1:14" x14ac:dyDescent="0.3">
      <c r="A252" s="105">
        <v>258</v>
      </c>
      <c r="B252" s="105" t="str">
        <f>VLOOKUP( $A252, Aop!$A$2:$P$453, 2, 0)</f>
        <v>BUa</v>
      </c>
      <c r="C252" s="55">
        <v>27</v>
      </c>
      <c r="D252" s="55" t="str">
        <f t="shared" si="31"/>
        <v>01755633</v>
      </c>
      <c r="E252" s="55" t="str">
        <f t="shared" si="32"/>
        <v>4400228130004</v>
      </c>
      <c r="F252" s="55" t="b">
        <f t="shared" si="34"/>
        <v>0</v>
      </c>
      <c r="G252" s="139">
        <f t="shared" si="35"/>
        <v>44926</v>
      </c>
      <c r="H252" s="105">
        <f>VLOOKUP( $A252, Aop!$A$2:$P$453, 4, 0)</f>
        <v>320</v>
      </c>
      <c r="I252" s="55">
        <f t="shared" si="33"/>
        <v>2022</v>
      </c>
      <c r="J252" s="55" t="str">
        <f t="shared" ca="1" si="38"/>
        <v/>
      </c>
      <c r="K252" s="55"/>
      <c r="L252" s="55"/>
      <c r="M252" s="55" t="str">
        <f t="shared" ca="1" si="37"/>
        <v/>
      </c>
      <c r="N252" s="55" t="str">
        <f t="shared" ca="1" si="36"/>
        <v/>
      </c>
    </row>
    <row r="253" spans="1:14" x14ac:dyDescent="0.3">
      <c r="A253" s="105">
        <v>259</v>
      </c>
      <c r="B253" s="105" t="str">
        <f>VLOOKUP( $A253, Aop!$A$2:$P$453, 2, 0)</f>
        <v>BUa</v>
      </c>
      <c r="C253" s="55">
        <v>27</v>
      </c>
      <c r="D253" s="55" t="str">
        <f t="shared" ref="D253:D310" si="39">Podatak_MB</f>
        <v>01755633</v>
      </c>
      <c r="E253" s="55" t="str">
        <f t="shared" ref="E253:E310" si="40">Podatak_JIB</f>
        <v>4400228130004</v>
      </c>
      <c r="F253" s="55" t="b">
        <f t="shared" si="34"/>
        <v>0</v>
      </c>
      <c r="G253" s="139">
        <f t="shared" si="35"/>
        <v>44926</v>
      </c>
      <c r="H253" s="105">
        <f>VLOOKUP( $A253, Aop!$A$2:$P$453, 4, 0)</f>
        <v>321</v>
      </c>
      <c r="I253" s="55">
        <f t="shared" ref="I253:I310" si="41">Godina</f>
        <v>2022</v>
      </c>
      <c r="J253" s="55" t="str">
        <f t="shared" ca="1" si="38"/>
        <v/>
      </c>
      <c r="K253" s="55"/>
      <c r="L253" s="55"/>
      <c r="M253" s="55">
        <f t="shared" ca="1" si="37"/>
        <v>0.38619999999999999</v>
      </c>
      <c r="N253" s="55">
        <f t="shared" ca="1" si="36"/>
        <v>0.38619999999999999</v>
      </c>
    </row>
    <row r="254" spans="1:14" x14ac:dyDescent="0.3">
      <c r="A254" s="105">
        <v>260</v>
      </c>
      <c r="B254" s="105" t="str">
        <f>VLOOKUP( $A254, Aop!$A$2:$P$453, 2, 0)</f>
        <v>BUa</v>
      </c>
      <c r="C254" s="55">
        <v>27</v>
      </c>
      <c r="D254" s="55" t="str">
        <f t="shared" si="39"/>
        <v>01755633</v>
      </c>
      <c r="E254" s="55" t="str">
        <f t="shared" si="40"/>
        <v>4400228130004</v>
      </c>
      <c r="F254" s="55" t="b">
        <f t="shared" ref="F254:F311" si="42">Konsolidovan_izvjestaj</f>
        <v>0</v>
      </c>
      <c r="G254" s="139">
        <f t="shared" ref="G254:G311" si="43">Datum_Broj</f>
        <v>44926</v>
      </c>
      <c r="H254" s="105">
        <f>VLOOKUP( $A254, Aop!$A$2:$P$453, 4, 0)</f>
        <v>322</v>
      </c>
      <c r="I254" s="55">
        <f t="shared" si="41"/>
        <v>2022</v>
      </c>
      <c r="J254" s="55" t="str">
        <f t="shared" ca="1" si="38"/>
        <v/>
      </c>
      <c r="K254" s="55"/>
      <c r="L254" s="55"/>
      <c r="M254" s="55" t="str">
        <f t="shared" ca="1" si="37"/>
        <v/>
      </c>
      <c r="N254" s="55" t="str">
        <f t="shared" ca="1" si="36"/>
        <v/>
      </c>
    </row>
    <row r="255" spans="1:14" x14ac:dyDescent="0.3">
      <c r="A255" s="105">
        <v>261</v>
      </c>
      <c r="B255" s="105" t="str">
        <f>VLOOKUP( $A255, Aop!$A$2:$P$453, 2, 0)</f>
        <v>BUa</v>
      </c>
      <c r="C255" s="55">
        <v>27</v>
      </c>
      <c r="D255" s="55" t="str">
        <f t="shared" si="39"/>
        <v>01755633</v>
      </c>
      <c r="E255" s="55" t="str">
        <f t="shared" si="40"/>
        <v>4400228130004</v>
      </c>
      <c r="F255" s="55" t="b">
        <f t="shared" si="42"/>
        <v>0</v>
      </c>
      <c r="G255" s="139">
        <f t="shared" si="43"/>
        <v>44926</v>
      </c>
      <c r="H255" s="105">
        <f>VLOOKUP( $A255, Aop!$A$2:$P$453, 4, 0)</f>
        <v>323</v>
      </c>
      <c r="I255" s="55">
        <f t="shared" si="41"/>
        <v>2022</v>
      </c>
      <c r="J255" s="55" t="str">
        <f t="shared" ca="1" si="38"/>
        <v/>
      </c>
      <c r="K255" s="55"/>
      <c r="L255" s="55"/>
      <c r="M255" s="55">
        <f t="shared" ca="1" si="37"/>
        <v>15</v>
      </c>
      <c r="N255" s="55">
        <f t="shared" ca="1" si="36"/>
        <v>15</v>
      </c>
    </row>
    <row r="256" spans="1:14" x14ac:dyDescent="0.3">
      <c r="A256" s="105">
        <v>262</v>
      </c>
      <c r="B256" s="105" t="str">
        <f>VLOOKUP( $A256, Aop!$A$2:$P$453, 2, 0)</f>
        <v>BUa</v>
      </c>
      <c r="C256" s="55">
        <v>27</v>
      </c>
      <c r="D256" s="55" t="str">
        <f t="shared" si="39"/>
        <v>01755633</v>
      </c>
      <c r="E256" s="55" t="str">
        <f t="shared" si="40"/>
        <v>4400228130004</v>
      </c>
      <c r="F256" s="55" t="b">
        <f t="shared" si="42"/>
        <v>0</v>
      </c>
      <c r="G256" s="139">
        <f t="shared" si="43"/>
        <v>44926</v>
      </c>
      <c r="H256" s="105">
        <f>VLOOKUP( $A256, Aop!$A$2:$P$453, 4, 0)</f>
        <v>324</v>
      </c>
      <c r="I256" s="55">
        <f t="shared" si="41"/>
        <v>2022</v>
      </c>
      <c r="J256" s="55" t="str">
        <f t="shared" ca="1" si="38"/>
        <v/>
      </c>
      <c r="K256" s="55"/>
      <c r="L256" s="55"/>
      <c r="M256" s="55">
        <f t="shared" ca="1" si="37"/>
        <v>15</v>
      </c>
      <c r="N256" s="55">
        <f t="shared" ca="1" si="36"/>
        <v>15</v>
      </c>
    </row>
    <row r="257" spans="1:14" x14ac:dyDescent="0.3">
      <c r="A257" s="105">
        <v>263</v>
      </c>
      <c r="B257" s="105" t="str">
        <f>VLOOKUP( $A257, Aop!$A$2:$P$453, 2, 0)</f>
        <v>BUb</v>
      </c>
      <c r="C257" s="55">
        <v>27</v>
      </c>
      <c r="D257" s="55" t="str">
        <f t="shared" si="39"/>
        <v>01755633</v>
      </c>
      <c r="E257" s="55" t="str">
        <f t="shared" si="40"/>
        <v>4400228130004</v>
      </c>
      <c r="F257" s="55" t="b">
        <f t="shared" si="42"/>
        <v>0</v>
      </c>
      <c r="G257" s="139">
        <f t="shared" si="43"/>
        <v>44926</v>
      </c>
      <c r="H257" s="105">
        <f>VLOOKUP( $A257, Aop!$A$2:$P$453, 4, 0)</f>
        <v>400</v>
      </c>
      <c r="I257" s="55">
        <f t="shared" si="41"/>
        <v>2022</v>
      </c>
      <c r="J257" s="55" t="str">
        <f t="shared" ca="1" si="38"/>
        <v/>
      </c>
      <c r="K257" s="55"/>
      <c r="L257" s="55"/>
      <c r="M257" s="55">
        <f t="shared" ca="1" si="37"/>
        <v>454948</v>
      </c>
      <c r="N257" s="55">
        <f t="shared" ca="1" si="36"/>
        <v>454948</v>
      </c>
    </row>
    <row r="258" spans="1:14" x14ac:dyDescent="0.3">
      <c r="A258" s="105">
        <v>264</v>
      </c>
      <c r="B258" s="105" t="str">
        <f>VLOOKUP( $A258, Aop!$A$2:$P$453, 2, 0)</f>
        <v>BUb</v>
      </c>
      <c r="C258" s="55">
        <v>27</v>
      </c>
      <c r="D258" s="55" t="str">
        <f t="shared" si="39"/>
        <v>01755633</v>
      </c>
      <c r="E258" s="55" t="str">
        <f t="shared" si="40"/>
        <v>4400228130004</v>
      </c>
      <c r="F258" s="55" t="b">
        <f t="shared" si="42"/>
        <v>0</v>
      </c>
      <c r="G258" s="139">
        <f t="shared" si="43"/>
        <v>44926</v>
      </c>
      <c r="H258" s="105">
        <f>VLOOKUP( $A258, Aop!$A$2:$P$453, 4, 0)</f>
        <v>401</v>
      </c>
      <c r="I258" s="55">
        <f t="shared" si="41"/>
        <v>2022</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3">
      <c r="A259" s="105">
        <v>265</v>
      </c>
      <c r="B259" s="105" t="str">
        <f>VLOOKUP( $A259, Aop!$A$2:$P$453, 2, 0)</f>
        <v>BUb</v>
      </c>
      <c r="C259" s="55">
        <v>27</v>
      </c>
      <c r="D259" s="55" t="str">
        <f t="shared" si="39"/>
        <v>01755633</v>
      </c>
      <c r="E259" s="55" t="str">
        <f t="shared" si="40"/>
        <v>4400228130004</v>
      </c>
      <c r="F259" s="55" t="b">
        <f t="shared" si="42"/>
        <v>0</v>
      </c>
      <c r="G259" s="139">
        <f t="shared" si="43"/>
        <v>44926</v>
      </c>
      <c r="H259" s="105">
        <f>VLOOKUP( $A259, Aop!$A$2:$P$453, 4, 0)</f>
        <v>402</v>
      </c>
      <c r="I259" s="55">
        <f t="shared" si="41"/>
        <v>2022</v>
      </c>
      <c r="J259" s="55" t="str">
        <f t="shared" ca="1" si="38"/>
        <v/>
      </c>
      <c r="K259" s="55"/>
      <c r="L259" s="55"/>
      <c r="M259" s="55" t="str">
        <f t="shared" ca="1" si="37"/>
        <v/>
      </c>
      <c r="N259" s="55" t="str">
        <f t="shared" ca="1" si="44"/>
        <v/>
      </c>
    </row>
    <row r="260" spans="1:14" x14ac:dyDescent="0.3">
      <c r="A260" s="105">
        <v>266</v>
      </c>
      <c r="B260" s="105" t="str">
        <f>VLOOKUP( $A260, Aop!$A$2:$P$453, 2, 0)</f>
        <v>BUb</v>
      </c>
      <c r="C260" s="55">
        <v>27</v>
      </c>
      <c r="D260" s="55" t="str">
        <f t="shared" si="39"/>
        <v>01755633</v>
      </c>
      <c r="E260" s="55" t="str">
        <f t="shared" si="40"/>
        <v>4400228130004</v>
      </c>
      <c r="F260" s="55" t="b">
        <f t="shared" si="42"/>
        <v>0</v>
      </c>
      <c r="G260" s="139">
        <f t="shared" si="43"/>
        <v>44926</v>
      </c>
      <c r="H260" s="105">
        <f>VLOOKUP( $A260, Aop!$A$2:$P$453, 4, 0)</f>
        <v>403</v>
      </c>
      <c r="I260" s="55">
        <f t="shared" si="41"/>
        <v>2022</v>
      </c>
      <c r="J260" s="55" t="str">
        <f t="shared" ca="1" si="38"/>
        <v/>
      </c>
      <c r="K260" s="55"/>
      <c r="L260" s="55"/>
      <c r="M260" s="55" t="str">
        <f t="shared" ca="1" si="37"/>
        <v/>
      </c>
      <c r="N260" s="55" t="str">
        <f t="shared" ca="1" si="44"/>
        <v/>
      </c>
    </row>
    <row r="261" spans="1:14" x14ac:dyDescent="0.3">
      <c r="A261" s="105">
        <v>267</v>
      </c>
      <c r="B261" s="105" t="str">
        <f>VLOOKUP( $A261, Aop!$A$2:$P$453, 2, 0)</f>
        <v>BUb</v>
      </c>
      <c r="C261" s="55">
        <v>27</v>
      </c>
      <c r="D261" s="55" t="str">
        <f t="shared" si="39"/>
        <v>01755633</v>
      </c>
      <c r="E261" s="55" t="str">
        <f t="shared" si="40"/>
        <v>4400228130004</v>
      </c>
      <c r="F261" s="55" t="b">
        <f t="shared" si="42"/>
        <v>0</v>
      </c>
      <c r="G261" s="139">
        <f t="shared" si="43"/>
        <v>44926</v>
      </c>
      <c r="H261" s="105">
        <f>VLOOKUP( $A261, Aop!$A$2:$P$453, 4, 0)</f>
        <v>404</v>
      </c>
      <c r="I261" s="55">
        <f t="shared" si="41"/>
        <v>2022</v>
      </c>
      <c r="J261" s="55" t="str">
        <f t="shared" ca="1" si="38"/>
        <v/>
      </c>
      <c r="K261" s="55"/>
      <c r="L261" s="55"/>
      <c r="M261" s="55" t="str">
        <f t="shared" ca="1" si="37"/>
        <v/>
      </c>
      <c r="N261" s="55" t="str">
        <f t="shared" ca="1" si="44"/>
        <v/>
      </c>
    </row>
    <row r="262" spans="1:14" x14ac:dyDescent="0.3">
      <c r="A262" s="105">
        <v>269</v>
      </c>
      <c r="B262" s="105" t="str">
        <f>VLOOKUP( $A262, Aop!$A$2:$P$453, 2, 0)</f>
        <v>BUb</v>
      </c>
      <c r="C262" s="55">
        <v>27</v>
      </c>
      <c r="D262" s="55" t="str">
        <f t="shared" si="39"/>
        <v>01755633</v>
      </c>
      <c r="E262" s="55" t="str">
        <f t="shared" si="40"/>
        <v>4400228130004</v>
      </c>
      <c r="F262" s="55" t="b">
        <f t="shared" si="42"/>
        <v>0</v>
      </c>
      <c r="G262" s="139">
        <f t="shared" si="43"/>
        <v>44926</v>
      </c>
      <c r="H262" s="105">
        <f>VLOOKUP( $A262, Aop!$A$2:$P$453, 4, 0)</f>
        <v>406</v>
      </c>
      <c r="I262" s="55">
        <f t="shared" si="41"/>
        <v>2022</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3">
      <c r="A263" s="105">
        <v>270</v>
      </c>
      <c r="B263" s="105" t="str">
        <f>VLOOKUP( $A263, Aop!$A$2:$P$453, 2, 0)</f>
        <v>BUb</v>
      </c>
      <c r="C263" s="55">
        <v>27</v>
      </c>
      <c r="D263" s="55" t="str">
        <f t="shared" si="39"/>
        <v>01755633</v>
      </c>
      <c r="E263" s="55" t="str">
        <f t="shared" si="40"/>
        <v>4400228130004</v>
      </c>
      <c r="F263" s="55" t="b">
        <f t="shared" si="42"/>
        <v>0</v>
      </c>
      <c r="G263" s="139">
        <f t="shared" si="43"/>
        <v>44926</v>
      </c>
      <c r="H263" s="105">
        <f>VLOOKUP( $A263, Aop!$A$2:$P$453, 4, 0)</f>
        <v>407</v>
      </c>
      <c r="I263" s="55">
        <f t="shared" si="41"/>
        <v>2022</v>
      </c>
      <c r="J263" s="55" t="str">
        <f t="shared" ca="1" si="38"/>
        <v/>
      </c>
      <c r="K263" s="55"/>
      <c r="L263" s="55"/>
      <c r="M263" s="55" t="str">
        <f t="shared" ca="1" si="45"/>
        <v/>
      </c>
      <c r="N263" s="55" t="str">
        <f t="shared" ca="1" si="44"/>
        <v/>
      </c>
    </row>
    <row r="264" spans="1:14" x14ac:dyDescent="0.3">
      <c r="A264" s="105">
        <v>272</v>
      </c>
      <c r="B264" s="105" t="str">
        <f>VLOOKUP( $A264, Aop!$A$2:$P$453, 2, 0)</f>
        <v>BUb</v>
      </c>
      <c r="C264" s="55">
        <v>27</v>
      </c>
      <c r="D264" s="55" t="str">
        <f t="shared" si="39"/>
        <v>01755633</v>
      </c>
      <c r="E264" s="55" t="str">
        <f t="shared" si="40"/>
        <v>4400228130004</v>
      </c>
      <c r="F264" s="55" t="b">
        <f t="shared" si="42"/>
        <v>0</v>
      </c>
      <c r="G264" s="139">
        <f t="shared" si="43"/>
        <v>44926</v>
      </c>
      <c r="H264" s="105">
        <f>VLOOKUP( $A264, Aop!$A$2:$P$453, 4, 0)</f>
        <v>409</v>
      </c>
      <c r="I264" s="55">
        <f t="shared" si="41"/>
        <v>2022</v>
      </c>
      <c r="J264" s="55" t="str">
        <f t="shared" ca="1" si="38"/>
        <v/>
      </c>
      <c r="K264" s="55"/>
      <c r="L264" s="55"/>
      <c r="M264" s="55" t="str">
        <f t="shared" ca="1" si="45"/>
        <v/>
      </c>
      <c r="N264" s="55" t="str">
        <f t="shared" ca="1" si="44"/>
        <v/>
      </c>
    </row>
    <row r="265" spans="1:14" x14ac:dyDescent="0.3">
      <c r="A265" s="105">
        <v>273</v>
      </c>
      <c r="B265" s="105" t="str">
        <f>VLOOKUP( $A265, Aop!$A$2:$P$453, 2, 0)</f>
        <v>BUb</v>
      </c>
      <c r="C265" s="55">
        <v>27</v>
      </c>
      <c r="D265" s="55" t="str">
        <f t="shared" si="39"/>
        <v>01755633</v>
      </c>
      <c r="E265" s="55" t="str">
        <f t="shared" si="40"/>
        <v>4400228130004</v>
      </c>
      <c r="F265" s="55" t="b">
        <f t="shared" si="42"/>
        <v>0</v>
      </c>
      <c r="G265" s="139">
        <f t="shared" si="43"/>
        <v>44926</v>
      </c>
      <c r="H265" s="105">
        <f>VLOOKUP( $A265, Aop!$A$2:$P$453, 4, 0)</f>
        <v>410</v>
      </c>
      <c r="I265" s="55">
        <f t="shared" si="41"/>
        <v>2022</v>
      </c>
      <c r="J265" s="55" t="str">
        <f t="shared" ca="1" si="38"/>
        <v/>
      </c>
      <c r="K265" s="55"/>
      <c r="L265" s="55"/>
      <c r="M265" s="55" t="str">
        <f t="shared" ca="1" si="45"/>
        <v/>
      </c>
      <c r="N265" s="55" t="str">
        <f t="shared" ca="1" si="44"/>
        <v/>
      </c>
    </row>
    <row r="266" spans="1:14" x14ac:dyDescent="0.3">
      <c r="A266" s="105">
        <v>274</v>
      </c>
      <c r="B266" s="105" t="str">
        <f>VLOOKUP( $A266, Aop!$A$2:$P$453, 2, 0)</f>
        <v>BUb</v>
      </c>
      <c r="C266" s="55">
        <v>27</v>
      </c>
      <c r="D266" s="55" t="str">
        <f t="shared" si="39"/>
        <v>01755633</v>
      </c>
      <c r="E266" s="55" t="str">
        <f t="shared" si="40"/>
        <v>4400228130004</v>
      </c>
      <c r="F266" s="55" t="b">
        <f t="shared" si="42"/>
        <v>0</v>
      </c>
      <c r="G266" s="139">
        <f t="shared" si="43"/>
        <v>44926</v>
      </c>
      <c r="H266" s="105">
        <f>VLOOKUP( $A266, Aop!$A$2:$P$453, 4, 0)</f>
        <v>411</v>
      </c>
      <c r="I266" s="55">
        <f t="shared" si="41"/>
        <v>2022</v>
      </c>
      <c r="J266" s="55" t="str">
        <f t="shared" ca="1" si="38"/>
        <v/>
      </c>
      <c r="K266" s="55"/>
      <c r="L266" s="55"/>
      <c r="M266" s="55" t="str">
        <f t="shared" ca="1" si="45"/>
        <v/>
      </c>
      <c r="N266" s="55" t="str">
        <f t="shared" ca="1" si="44"/>
        <v/>
      </c>
    </row>
    <row r="267" spans="1:14" x14ac:dyDescent="0.3">
      <c r="A267" s="105">
        <v>275</v>
      </c>
      <c r="B267" s="105" t="str">
        <f>VLOOKUP( $A267, Aop!$A$2:$P$453, 2, 0)</f>
        <v>BUb</v>
      </c>
      <c r="C267" s="55">
        <v>27</v>
      </c>
      <c r="D267" s="55" t="str">
        <f t="shared" si="39"/>
        <v>01755633</v>
      </c>
      <c r="E267" s="55" t="str">
        <f t="shared" si="40"/>
        <v>4400228130004</v>
      </c>
      <c r="F267" s="55" t="b">
        <f t="shared" si="42"/>
        <v>0</v>
      </c>
      <c r="G267" s="139">
        <f t="shared" si="43"/>
        <v>44926</v>
      </c>
      <c r="H267" s="105">
        <f>VLOOKUP( $A267, Aop!$A$2:$P$453, 4, 0)</f>
        <v>412</v>
      </c>
      <c r="I267" s="55">
        <f t="shared" si="41"/>
        <v>2022</v>
      </c>
      <c r="J267" s="55" t="str">
        <f t="shared" ca="1" si="38"/>
        <v/>
      </c>
      <c r="K267" s="55"/>
      <c r="L267" s="55"/>
      <c r="M267" s="55" t="str">
        <f t="shared" ca="1" si="45"/>
        <v/>
      </c>
      <c r="N267" s="55" t="str">
        <f t="shared" ca="1" si="44"/>
        <v/>
      </c>
    </row>
    <row r="268" spans="1:14" x14ac:dyDescent="0.3">
      <c r="A268" s="105">
        <v>276</v>
      </c>
      <c r="B268" s="105" t="str">
        <f>VLOOKUP( $A268, Aop!$A$2:$P$453, 2, 0)</f>
        <v>BUb</v>
      </c>
      <c r="C268" s="55">
        <v>27</v>
      </c>
      <c r="D268" s="55" t="str">
        <f t="shared" si="39"/>
        <v>01755633</v>
      </c>
      <c r="E268" s="55" t="str">
        <f t="shared" si="40"/>
        <v>4400228130004</v>
      </c>
      <c r="F268" s="55" t="b">
        <f t="shared" si="42"/>
        <v>0</v>
      </c>
      <c r="G268" s="139">
        <f t="shared" si="43"/>
        <v>44926</v>
      </c>
      <c r="H268" s="105">
        <f>VLOOKUP( $A268, Aop!$A$2:$P$453, 4, 0)</f>
        <v>413</v>
      </c>
      <c r="I268" s="55">
        <f t="shared" si="41"/>
        <v>2022</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3">
      <c r="A269" s="105">
        <v>277</v>
      </c>
      <c r="B269" s="105" t="str">
        <f>VLOOKUP( $A269, Aop!$A$2:$P$453, 2, 0)</f>
        <v>BUb</v>
      </c>
      <c r="C269" s="55">
        <v>27</v>
      </c>
      <c r="D269" s="55" t="str">
        <f t="shared" si="39"/>
        <v>01755633</v>
      </c>
      <c r="E269" s="55" t="str">
        <f t="shared" si="40"/>
        <v>4400228130004</v>
      </c>
      <c r="F269" s="55" t="b">
        <f t="shared" si="42"/>
        <v>0</v>
      </c>
      <c r="G269" s="139">
        <f t="shared" si="43"/>
        <v>44926</v>
      </c>
      <c r="H269" s="105">
        <f>VLOOKUP( $A269, Aop!$A$2:$P$453, 4, 0)</f>
        <v>414</v>
      </c>
      <c r="I269" s="55">
        <f t="shared" si="41"/>
        <v>2022</v>
      </c>
      <c r="J269" s="55" t="str">
        <f t="shared" ca="1" si="46"/>
        <v/>
      </c>
      <c r="K269" s="55"/>
      <c r="L269" s="55"/>
      <c r="M269" s="55" t="str">
        <f t="shared" ca="1" si="45"/>
        <v/>
      </c>
      <c r="N269" s="55" t="str">
        <f t="shared" ca="1" si="44"/>
        <v/>
      </c>
    </row>
    <row r="270" spans="1:14" x14ac:dyDescent="0.3">
      <c r="A270" s="105">
        <v>278</v>
      </c>
      <c r="B270" s="105" t="str">
        <f>VLOOKUP( $A270, Aop!$A$2:$P$453, 2, 0)</f>
        <v>BUb</v>
      </c>
      <c r="C270" s="55">
        <v>27</v>
      </c>
      <c r="D270" s="55" t="str">
        <f t="shared" si="39"/>
        <v>01755633</v>
      </c>
      <c r="E270" s="55" t="str">
        <f t="shared" si="40"/>
        <v>4400228130004</v>
      </c>
      <c r="F270" s="55" t="b">
        <f t="shared" si="42"/>
        <v>0</v>
      </c>
      <c r="G270" s="139">
        <f t="shared" si="43"/>
        <v>44926</v>
      </c>
      <c r="H270" s="105">
        <f>VLOOKUP( $A270, Aop!$A$2:$P$453, 4, 0)</f>
        <v>415</v>
      </c>
      <c r="I270" s="55">
        <f t="shared" si="41"/>
        <v>2022</v>
      </c>
      <c r="J270" s="55" t="str">
        <f t="shared" ca="1" si="46"/>
        <v/>
      </c>
      <c r="K270" s="55"/>
      <c r="L270" s="55"/>
      <c r="M270" s="55">
        <f t="shared" ca="1" si="45"/>
        <v>0</v>
      </c>
      <c r="N270" s="55">
        <f t="shared" ca="1" si="44"/>
        <v>0</v>
      </c>
    </row>
    <row r="271" spans="1:14" x14ac:dyDescent="0.3">
      <c r="A271" s="105">
        <v>279</v>
      </c>
      <c r="B271" s="105" t="str">
        <f>VLOOKUP( $A271, Aop!$A$2:$P$453, 2, 0)</f>
        <v>BUb</v>
      </c>
      <c r="C271" s="55">
        <v>27</v>
      </c>
      <c r="D271" s="55" t="str">
        <f t="shared" si="39"/>
        <v>01755633</v>
      </c>
      <c r="E271" s="55" t="str">
        <f t="shared" si="40"/>
        <v>4400228130004</v>
      </c>
      <c r="F271" s="55" t="b">
        <f t="shared" si="42"/>
        <v>0</v>
      </c>
      <c r="G271" s="139">
        <f t="shared" si="43"/>
        <v>44926</v>
      </c>
      <c r="H271" s="105">
        <f>VLOOKUP( $A271, Aop!$A$2:$P$453, 4, 0)</f>
        <v>0</v>
      </c>
      <c r="I271" s="55">
        <f t="shared" si="41"/>
        <v>2022</v>
      </c>
      <c r="J271" s="55" t="str">
        <f t="shared" ca="1" si="46"/>
        <v/>
      </c>
      <c r="K271" s="55"/>
      <c r="L271" s="55"/>
      <c r="M271" s="55" t="str">
        <f t="shared" ca="1" si="45"/>
        <v/>
      </c>
      <c r="N271" s="55" t="str">
        <f t="shared" ca="1" si="44"/>
        <v/>
      </c>
    </row>
    <row r="272" spans="1:14" x14ac:dyDescent="0.3">
      <c r="A272" s="105">
        <v>280</v>
      </c>
      <c r="B272" s="105" t="str">
        <f>VLOOKUP( $A272, Aop!$A$2:$P$453, 2, 0)</f>
        <v>BUb</v>
      </c>
      <c r="C272" s="55">
        <v>27</v>
      </c>
      <c r="D272" s="55" t="str">
        <f t="shared" si="39"/>
        <v>01755633</v>
      </c>
      <c r="E272" s="55" t="str">
        <f t="shared" si="40"/>
        <v>4400228130004</v>
      </c>
      <c r="F272" s="55" t="b">
        <f t="shared" si="42"/>
        <v>0</v>
      </c>
      <c r="G272" s="139">
        <f t="shared" si="43"/>
        <v>44926</v>
      </c>
      <c r="H272" s="105">
        <f>VLOOKUP( $A272, Aop!$A$2:$P$453, 4, 0)</f>
        <v>416</v>
      </c>
      <c r="I272" s="55">
        <f t="shared" si="41"/>
        <v>2022</v>
      </c>
      <c r="J272" s="55" t="str">
        <f t="shared" ca="1" si="46"/>
        <v/>
      </c>
      <c r="K272" s="55"/>
      <c r="L272" s="55"/>
      <c r="M272" s="55">
        <f ca="1">IF( VLOOKUP( $H272, INDIRECT( "Lookup_" &amp; $B272), IF( LEFT( $B272, 2) = "BS", S$2, S$1), 0) = "", "", VLOOKUP( $H272, INDIRECT( "Lookup_" &amp; $B272), IF( LEFT( $B272, 2) = "BS", S$2, S$1), 0))</f>
        <v>454948</v>
      </c>
      <c r="N272" s="55">
        <f t="shared" ca="1" si="44"/>
        <v>454948</v>
      </c>
    </row>
    <row r="273" spans="1:14" x14ac:dyDescent="0.3">
      <c r="A273" s="105">
        <v>281</v>
      </c>
      <c r="B273" s="105" t="str">
        <f>VLOOKUP( $A273, Aop!$A$2:$P$453, 2, 0)</f>
        <v>BUb</v>
      </c>
      <c r="C273" s="55">
        <v>27</v>
      </c>
      <c r="D273" s="55" t="str">
        <f t="shared" si="39"/>
        <v>01755633</v>
      </c>
      <c r="E273" s="55" t="str">
        <f t="shared" si="40"/>
        <v>4400228130004</v>
      </c>
      <c r="F273" s="55" t="b">
        <f t="shared" si="42"/>
        <v>0</v>
      </c>
      <c r="G273" s="139">
        <f t="shared" si="43"/>
        <v>44926</v>
      </c>
      <c r="H273" s="105">
        <f>VLOOKUP( $A273, Aop!$A$2:$P$453, 4, 0)</f>
        <v>0</v>
      </c>
      <c r="I273" s="55">
        <f t="shared" si="41"/>
        <v>2022</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3">
      <c r="A274" s="105">
        <v>282</v>
      </c>
      <c r="B274" s="55" t="str">
        <f>VLOOKUP( $A274, Aop!$A$2:$P$453, 2, 0)</f>
        <v>BUb</v>
      </c>
      <c r="C274" s="55">
        <v>27</v>
      </c>
      <c r="D274" s="55" t="str">
        <f>Podatak_MB</f>
        <v>01755633</v>
      </c>
      <c r="E274" s="55" t="str">
        <f>Podatak_JIB</f>
        <v>4400228130004</v>
      </c>
      <c r="F274" s="55" t="b">
        <f>Konsolidovan_izvjestaj</f>
        <v>0</v>
      </c>
      <c r="G274" s="139">
        <f>Datum_Broj</f>
        <v>44926</v>
      </c>
      <c r="H274" s="55">
        <f>VLOOKUP( $A274, Aop!$A$2:$P$453, 4, 0)</f>
        <v>417</v>
      </c>
      <c r="I274" s="55">
        <f>Godina</f>
        <v>2022</v>
      </c>
      <c r="J274" s="55" t="str">
        <f t="shared" ca="1" si="46"/>
        <v/>
      </c>
      <c r="K274" s="55"/>
      <c r="L274" s="55"/>
      <c r="M274" s="55" t="str">
        <f t="shared" ca="1" si="47"/>
        <v/>
      </c>
      <c r="N274" s="55" t="str">
        <f t="shared" ca="1" si="44"/>
        <v/>
      </c>
    </row>
    <row r="275" spans="1:14" x14ac:dyDescent="0.3">
      <c r="A275" s="105">
        <v>283</v>
      </c>
      <c r="B275" s="105" t="str">
        <f>VLOOKUP( $A275, Aop!$A$2:$P$453, 2, 0)</f>
        <v>BUb</v>
      </c>
      <c r="C275" s="55">
        <v>27</v>
      </c>
      <c r="D275" s="55" t="str">
        <f t="shared" si="39"/>
        <v>01755633</v>
      </c>
      <c r="E275" s="55" t="str">
        <f t="shared" si="40"/>
        <v>4400228130004</v>
      </c>
      <c r="F275" s="55" t="b">
        <f t="shared" si="42"/>
        <v>0</v>
      </c>
      <c r="G275" s="139">
        <f t="shared" si="43"/>
        <v>44926</v>
      </c>
      <c r="H275" s="105">
        <f>VLOOKUP( $A275, Aop!$A$2:$P$453, 4, 0)</f>
        <v>418</v>
      </c>
      <c r="I275" s="55">
        <f t="shared" si="41"/>
        <v>2022</v>
      </c>
      <c r="J275" s="55" t="str">
        <f t="shared" ca="1" si="46"/>
        <v/>
      </c>
      <c r="K275" s="55"/>
      <c r="L275" s="55"/>
      <c r="M275" s="55" t="str">
        <f t="shared" ca="1" si="47"/>
        <v/>
      </c>
      <c r="N275" s="55" t="str">
        <f t="shared" ca="1" si="44"/>
        <v/>
      </c>
    </row>
    <row r="276" spans="1:14" x14ac:dyDescent="0.3">
      <c r="A276" s="105">
        <v>285</v>
      </c>
      <c r="B276" s="105" t="str">
        <f>VLOOKUP( $A276, Aop!$A$2:$P$453, 2, 0)</f>
        <v>BTG</v>
      </c>
      <c r="C276" s="55">
        <v>29</v>
      </c>
      <c r="D276" s="55" t="str">
        <f t="shared" si="39"/>
        <v>01755633</v>
      </c>
      <c r="E276" s="55" t="str">
        <f t="shared" si="40"/>
        <v>4400228130004</v>
      </c>
      <c r="F276" s="55" t="b">
        <f t="shared" si="42"/>
        <v>0</v>
      </c>
      <c r="G276" s="139">
        <f t="shared" si="43"/>
        <v>44926</v>
      </c>
      <c r="H276" s="105">
        <f>VLOOKUP( $A276, Aop!$A$2:$P$453, 4, 0)</f>
        <v>502</v>
      </c>
      <c r="I276" s="55">
        <f t="shared" si="41"/>
        <v>2022</v>
      </c>
      <c r="J276" s="55" t="str">
        <f t="shared" ca="1" si="46"/>
        <v/>
      </c>
      <c r="K276" s="55"/>
      <c r="L276" s="55"/>
      <c r="M276" s="55">
        <f t="shared" ca="1" si="47"/>
        <v>3952413</v>
      </c>
      <c r="N276" s="55">
        <f t="shared" ca="1" si="44"/>
        <v>3952413</v>
      </c>
    </row>
    <row r="277" spans="1:14" x14ac:dyDescent="0.3">
      <c r="A277" s="105">
        <v>286</v>
      </c>
      <c r="B277" s="105" t="str">
        <f>VLOOKUP( $A277, Aop!$A$2:$P$453, 2, 0)</f>
        <v>BTG</v>
      </c>
      <c r="C277" s="55">
        <v>29</v>
      </c>
      <c r="D277" s="55" t="str">
        <f t="shared" si="39"/>
        <v>01755633</v>
      </c>
      <c r="E277" s="55" t="str">
        <f t="shared" si="40"/>
        <v>4400228130004</v>
      </c>
      <c r="F277" s="55" t="b">
        <f t="shared" si="42"/>
        <v>0</v>
      </c>
      <c r="G277" s="139">
        <f t="shared" si="43"/>
        <v>44926</v>
      </c>
      <c r="H277" s="105">
        <f>VLOOKUP( $A277, Aop!$A$2:$P$453, 4, 0)</f>
        <v>503</v>
      </c>
      <c r="I277" s="55">
        <f t="shared" si="41"/>
        <v>2022</v>
      </c>
      <c r="J277" s="55" t="str">
        <f t="shared" ca="1" si="46"/>
        <v/>
      </c>
      <c r="K277" s="55"/>
      <c r="L277" s="55"/>
      <c r="M277" s="55">
        <f t="shared" ca="1" si="47"/>
        <v>899128</v>
      </c>
      <c r="N277" s="55">
        <f t="shared" ca="1" si="44"/>
        <v>899128</v>
      </c>
    </row>
    <row r="278" spans="1:14" x14ac:dyDescent="0.3">
      <c r="A278" s="105">
        <v>287</v>
      </c>
      <c r="B278" s="105" t="str">
        <f>VLOOKUP( $A278, Aop!$A$2:$P$453, 2, 0)</f>
        <v>BTG</v>
      </c>
      <c r="C278" s="55">
        <v>29</v>
      </c>
      <c r="D278" s="55" t="str">
        <f t="shared" si="39"/>
        <v>01755633</v>
      </c>
      <c r="E278" s="55" t="str">
        <f t="shared" si="40"/>
        <v>4400228130004</v>
      </c>
      <c r="F278" s="55" t="b">
        <f t="shared" si="42"/>
        <v>0</v>
      </c>
      <c r="G278" s="139">
        <f t="shared" si="43"/>
        <v>44926</v>
      </c>
      <c r="H278" s="105">
        <f>VLOOKUP( $A278, Aop!$A$2:$P$453, 4, 0)</f>
        <v>504</v>
      </c>
      <c r="I278" s="55">
        <f t="shared" si="41"/>
        <v>2022</v>
      </c>
      <c r="J278" s="55" t="str">
        <f t="shared" ca="1" si="46"/>
        <v/>
      </c>
      <c r="K278" s="55"/>
      <c r="L278" s="55"/>
      <c r="M278" s="55">
        <f t="shared" ca="1" si="47"/>
        <v>32500</v>
      </c>
      <c r="N278" s="55">
        <f t="shared" ca="1" si="44"/>
        <v>32500</v>
      </c>
    </row>
    <row r="279" spans="1:14" x14ac:dyDescent="0.3">
      <c r="A279" s="105">
        <v>288</v>
      </c>
      <c r="B279" s="105" t="str">
        <f>VLOOKUP( $A279, Aop!$A$2:$P$453, 2, 0)</f>
        <v>BTG</v>
      </c>
      <c r="C279" s="55">
        <v>29</v>
      </c>
      <c r="D279" s="55" t="str">
        <f t="shared" si="39"/>
        <v>01755633</v>
      </c>
      <c r="E279" s="55" t="str">
        <f t="shared" si="40"/>
        <v>4400228130004</v>
      </c>
      <c r="F279" s="55" t="b">
        <f t="shared" si="42"/>
        <v>0</v>
      </c>
      <c r="G279" s="139">
        <f t="shared" si="43"/>
        <v>44926</v>
      </c>
      <c r="H279" s="105">
        <f>VLOOKUP( $A279, Aop!$A$2:$P$453, 4, 0)</f>
        <v>505</v>
      </c>
      <c r="I279" s="55">
        <f t="shared" si="41"/>
        <v>2022</v>
      </c>
      <c r="J279" s="55" t="str">
        <f t="shared" ca="1" si="46"/>
        <v/>
      </c>
      <c r="K279" s="55"/>
      <c r="L279" s="55"/>
      <c r="M279" s="55" t="str">
        <f t="shared" ca="1" si="47"/>
        <v/>
      </c>
      <c r="N279" s="55" t="str">
        <f t="shared" ca="1" si="44"/>
        <v/>
      </c>
    </row>
    <row r="280" spans="1:14" x14ac:dyDescent="0.3">
      <c r="A280" s="105">
        <v>289</v>
      </c>
      <c r="B280" s="105" t="str">
        <f>VLOOKUP( $A280, Aop!$A$2:$P$453, 2, 0)</f>
        <v>BTG</v>
      </c>
      <c r="C280" s="55">
        <v>29</v>
      </c>
      <c r="D280" s="55" t="str">
        <f t="shared" si="39"/>
        <v>01755633</v>
      </c>
      <c r="E280" s="55" t="str">
        <f t="shared" si="40"/>
        <v>4400228130004</v>
      </c>
      <c r="F280" s="55" t="b">
        <f t="shared" si="42"/>
        <v>0</v>
      </c>
      <c r="G280" s="139">
        <f t="shared" si="43"/>
        <v>44926</v>
      </c>
      <c r="H280" s="105">
        <f>VLOOKUP( $A280, Aop!$A$2:$P$453, 4, 0)</f>
        <v>506</v>
      </c>
      <c r="I280" s="55">
        <f t="shared" si="41"/>
        <v>2022</v>
      </c>
      <c r="J280" s="55" t="str">
        <f t="shared" ca="1" si="46"/>
        <v/>
      </c>
      <c r="K280" s="55"/>
      <c r="L280" s="55"/>
      <c r="M280" s="55">
        <f t="shared" ca="1" si="47"/>
        <v>4800687</v>
      </c>
      <c r="N280" s="55">
        <f t="shared" ca="1" si="44"/>
        <v>4800687</v>
      </c>
    </row>
    <row r="281" spans="1:14" x14ac:dyDescent="0.3">
      <c r="A281" s="105">
        <v>290</v>
      </c>
      <c r="B281" s="105" t="str">
        <f>VLOOKUP( $A281, Aop!$A$2:$P$453, 2, 0)</f>
        <v>BTG</v>
      </c>
      <c r="C281" s="55">
        <v>29</v>
      </c>
      <c r="D281" s="55" t="str">
        <f t="shared" si="39"/>
        <v>01755633</v>
      </c>
      <c r="E281" s="55" t="str">
        <f t="shared" si="40"/>
        <v>4400228130004</v>
      </c>
      <c r="F281" s="55" t="b">
        <f t="shared" si="42"/>
        <v>0</v>
      </c>
      <c r="G281" s="139">
        <f t="shared" si="43"/>
        <v>44926</v>
      </c>
      <c r="H281" s="105">
        <f>VLOOKUP( $A281, Aop!$A$2:$P$453, 4, 0)</f>
        <v>507</v>
      </c>
      <c r="I281" s="55">
        <f t="shared" si="41"/>
        <v>2022</v>
      </c>
      <c r="J281" s="55" t="str">
        <f t="shared" ca="1" si="46"/>
        <v/>
      </c>
      <c r="K281" s="55"/>
      <c r="L281" s="55"/>
      <c r="M281" s="55">
        <f t="shared" ca="1" si="47"/>
        <v>3726862</v>
      </c>
      <c r="N281" s="55">
        <f t="shared" ca="1" si="44"/>
        <v>3726862</v>
      </c>
    </row>
    <row r="282" spans="1:14" x14ac:dyDescent="0.3">
      <c r="A282" s="105">
        <v>291</v>
      </c>
      <c r="B282" s="105" t="str">
        <f>VLOOKUP( $A282, Aop!$A$2:$P$453, 2, 0)</f>
        <v>BTG</v>
      </c>
      <c r="C282" s="55">
        <v>29</v>
      </c>
      <c r="D282" s="55" t="str">
        <f t="shared" si="39"/>
        <v>01755633</v>
      </c>
      <c r="E282" s="55" t="str">
        <f t="shared" si="40"/>
        <v>4400228130004</v>
      </c>
      <c r="F282" s="55" t="b">
        <f t="shared" si="42"/>
        <v>0</v>
      </c>
      <c r="G282" s="139">
        <f t="shared" si="43"/>
        <v>44926</v>
      </c>
      <c r="H282" s="105">
        <f>VLOOKUP( $A282, Aop!$A$2:$P$453, 4, 0)</f>
        <v>508</v>
      </c>
      <c r="I282" s="55">
        <f t="shared" si="41"/>
        <v>2022</v>
      </c>
      <c r="J282" s="55" t="str">
        <f t="shared" ca="1" si="46"/>
        <v/>
      </c>
      <c r="K282" s="55"/>
      <c r="L282" s="55"/>
      <c r="M282" s="55">
        <f t="shared" ca="1" si="47"/>
        <v>27313</v>
      </c>
      <c r="N282" s="55">
        <f t="shared" ca="1" si="44"/>
        <v>27313</v>
      </c>
    </row>
    <row r="283" spans="1:14" x14ac:dyDescent="0.3">
      <c r="A283" s="105">
        <v>292</v>
      </c>
      <c r="B283" s="105" t="str">
        <f>VLOOKUP( $A283, Aop!$A$2:$P$453, 2, 0)</f>
        <v>BTG</v>
      </c>
      <c r="C283" s="55">
        <v>29</v>
      </c>
      <c r="D283" s="55" t="str">
        <f t="shared" si="39"/>
        <v>01755633</v>
      </c>
      <c r="E283" s="55" t="str">
        <f t="shared" si="40"/>
        <v>4400228130004</v>
      </c>
      <c r="F283" s="55" t="b">
        <f t="shared" si="42"/>
        <v>0</v>
      </c>
      <c r="G283" s="139">
        <f t="shared" si="43"/>
        <v>44926</v>
      </c>
      <c r="H283" s="105">
        <f>VLOOKUP( $A283, Aop!$A$2:$P$453, 4, 0)</f>
        <v>509</v>
      </c>
      <c r="I283" s="55">
        <f t="shared" si="41"/>
        <v>2022</v>
      </c>
      <c r="J283" s="55" t="str">
        <f t="shared" ca="1" si="46"/>
        <v/>
      </c>
      <c r="K283" s="55"/>
      <c r="L283" s="55"/>
      <c r="M283" s="55">
        <f t="shared" ca="1" si="47"/>
        <v>22</v>
      </c>
      <c r="N283" s="55">
        <f t="shared" ca="1" si="44"/>
        <v>22</v>
      </c>
    </row>
    <row r="284" spans="1:14" x14ac:dyDescent="0.3">
      <c r="A284" s="105">
        <v>293</v>
      </c>
      <c r="B284" s="105" t="str">
        <f>VLOOKUP( $A284, Aop!$A$2:$P$453, 2, 0)</f>
        <v>BTG</v>
      </c>
      <c r="C284" s="55">
        <v>29</v>
      </c>
      <c r="D284" s="55" t="str">
        <f t="shared" si="39"/>
        <v>01755633</v>
      </c>
      <c r="E284" s="55" t="str">
        <f t="shared" si="40"/>
        <v>4400228130004</v>
      </c>
      <c r="F284" s="55" t="b">
        <f t="shared" si="42"/>
        <v>0</v>
      </c>
      <c r="G284" s="139">
        <f t="shared" si="43"/>
        <v>44926</v>
      </c>
      <c r="H284" s="105">
        <f>VLOOKUP( $A284, Aop!$A$2:$P$453, 4, 0)</f>
        <v>510</v>
      </c>
      <c r="I284" s="55">
        <f t="shared" si="41"/>
        <v>2022</v>
      </c>
      <c r="J284" s="55" t="str">
        <f t="shared" ca="1" si="46"/>
        <v/>
      </c>
      <c r="K284" s="55"/>
      <c r="L284" s="55"/>
      <c r="M284" s="55">
        <f t="shared" ca="1" si="47"/>
        <v>492352</v>
      </c>
      <c r="N284" s="55">
        <f t="shared" ca="1" si="44"/>
        <v>492352</v>
      </c>
    </row>
    <row r="285" spans="1:14" x14ac:dyDescent="0.3">
      <c r="A285" s="105">
        <v>294</v>
      </c>
      <c r="B285" s="105" t="str">
        <f>VLOOKUP( $A285, Aop!$A$2:$P$453, 2, 0)</f>
        <v>BTG</v>
      </c>
      <c r="C285" s="55">
        <v>29</v>
      </c>
      <c r="D285" s="55" t="str">
        <f t="shared" si="39"/>
        <v>01755633</v>
      </c>
      <c r="E285" s="55" t="str">
        <f t="shared" si="40"/>
        <v>4400228130004</v>
      </c>
      <c r="F285" s="55" t="b">
        <f t="shared" si="42"/>
        <v>0</v>
      </c>
      <c r="G285" s="139">
        <f t="shared" si="43"/>
        <v>44926</v>
      </c>
      <c r="H285" s="105">
        <f>VLOOKUP( $A285, Aop!$A$2:$P$453, 4, 0)</f>
        <v>511</v>
      </c>
      <c r="I285" s="55">
        <f t="shared" si="41"/>
        <v>2022</v>
      </c>
      <c r="J285" s="55" t="str">
        <f t="shared" ca="1" si="46"/>
        <v/>
      </c>
      <c r="K285" s="55"/>
      <c r="L285" s="55"/>
      <c r="M285" s="55">
        <f t="shared" ca="1" si="47"/>
        <v>106982</v>
      </c>
      <c r="N285" s="55">
        <f t="shared" ca="1" si="44"/>
        <v>106982</v>
      </c>
    </row>
    <row r="286" spans="1:14" x14ac:dyDescent="0.3">
      <c r="A286" s="105">
        <v>295</v>
      </c>
      <c r="B286" s="105" t="str">
        <f>VLOOKUP( $A286, Aop!$A$2:$P$453, 2, 0)</f>
        <v>BTG</v>
      </c>
      <c r="C286" s="55">
        <v>29</v>
      </c>
      <c r="D286" s="55" t="str">
        <f t="shared" si="39"/>
        <v>01755633</v>
      </c>
      <c r="E286" s="55" t="str">
        <f t="shared" si="40"/>
        <v>4400228130004</v>
      </c>
      <c r="F286" s="55" t="b">
        <f t="shared" si="42"/>
        <v>0</v>
      </c>
      <c r="G286" s="139">
        <f t="shared" si="43"/>
        <v>44926</v>
      </c>
      <c r="H286" s="105">
        <f>VLOOKUP( $A286, Aop!$A$2:$P$453, 4, 0)</f>
        <v>512</v>
      </c>
      <c r="I286" s="55">
        <f t="shared" si="41"/>
        <v>2022</v>
      </c>
      <c r="J286" s="55" t="str">
        <f t="shared" ca="1" si="46"/>
        <v/>
      </c>
      <c r="K286" s="55"/>
      <c r="L286" s="55"/>
      <c r="M286" s="55">
        <f t="shared" ca="1" si="47"/>
        <v>447156</v>
      </c>
      <c r="N286" s="55">
        <f t="shared" ca="1" si="44"/>
        <v>447156</v>
      </c>
    </row>
    <row r="287" spans="1:14" x14ac:dyDescent="0.3">
      <c r="A287" s="105">
        <v>296</v>
      </c>
      <c r="B287" s="105" t="str">
        <f>VLOOKUP( $A287, Aop!$A$2:$P$453, 2, 0)</f>
        <v>BTG</v>
      </c>
      <c r="C287" s="55">
        <v>29</v>
      </c>
      <c r="D287" s="55" t="str">
        <f t="shared" si="39"/>
        <v>01755633</v>
      </c>
      <c r="E287" s="55" t="str">
        <f t="shared" si="40"/>
        <v>4400228130004</v>
      </c>
      <c r="F287" s="55" t="b">
        <f t="shared" si="42"/>
        <v>0</v>
      </c>
      <c r="G287" s="139">
        <f t="shared" si="43"/>
        <v>44926</v>
      </c>
      <c r="H287" s="105">
        <f>VLOOKUP( $A287, Aop!$A$2:$P$453, 4, 0)</f>
        <v>513</v>
      </c>
      <c r="I287" s="55">
        <f t="shared" si="41"/>
        <v>2022</v>
      </c>
      <c r="J287" s="55" t="str">
        <f t="shared" ca="1" si="46"/>
        <v/>
      </c>
      <c r="K287" s="55"/>
      <c r="L287" s="55"/>
      <c r="M287" s="55">
        <f t="shared" ca="1" si="47"/>
        <v>83354</v>
      </c>
      <c r="N287" s="55">
        <f t="shared" ca="1" si="44"/>
        <v>83354</v>
      </c>
    </row>
    <row r="288" spans="1:14" x14ac:dyDescent="0.3">
      <c r="A288" s="105">
        <v>297</v>
      </c>
      <c r="B288" s="105" t="str">
        <f>VLOOKUP( $A288, Aop!$A$2:$P$453, 2, 0)</f>
        <v>BTG</v>
      </c>
      <c r="C288" s="55">
        <v>29</v>
      </c>
      <c r="D288" s="55" t="str">
        <f t="shared" si="39"/>
        <v>01755633</v>
      </c>
      <c r="E288" s="55" t="str">
        <f t="shared" si="40"/>
        <v>4400228130004</v>
      </c>
      <c r="F288" s="55" t="b">
        <f t="shared" si="42"/>
        <v>0</v>
      </c>
      <c r="G288" s="139">
        <f t="shared" si="43"/>
        <v>44926</v>
      </c>
      <c r="H288" s="105">
        <f>VLOOKUP( $A288, Aop!$A$2:$P$453, 4, 0)</f>
        <v>514</v>
      </c>
      <c r="I288" s="55">
        <f t="shared" si="41"/>
        <v>2022</v>
      </c>
      <c r="J288" s="55" t="str">
        <f t="shared" ca="1" si="46"/>
        <v/>
      </c>
      <c r="K288" s="55"/>
      <c r="L288" s="55"/>
      <c r="M288" s="55">
        <f t="shared" ca="1" si="47"/>
        <v>0</v>
      </c>
      <c r="N288" s="55">
        <f t="shared" ca="1" si="44"/>
        <v>0</v>
      </c>
    </row>
    <row r="289" spans="1:14" x14ac:dyDescent="0.3">
      <c r="A289" s="105">
        <v>298</v>
      </c>
      <c r="B289" s="105" t="str">
        <f>VLOOKUP( $A289, Aop!$A$2:$P$453, 2, 0)</f>
        <v>BTG</v>
      </c>
      <c r="C289" s="55">
        <v>29</v>
      </c>
      <c r="D289" s="55" t="str">
        <f t="shared" si="39"/>
        <v>01755633</v>
      </c>
      <c r="E289" s="55" t="str">
        <f t="shared" si="40"/>
        <v>4400228130004</v>
      </c>
      <c r="F289" s="55" t="b">
        <f t="shared" si="42"/>
        <v>0</v>
      </c>
      <c r="G289" s="139">
        <f t="shared" si="43"/>
        <v>44926</v>
      </c>
      <c r="H289" s="105">
        <f>VLOOKUP( $A289, Aop!$A$2:$P$453, 4, 0)</f>
        <v>515</v>
      </c>
      <c r="I289" s="55">
        <f t="shared" si="41"/>
        <v>2022</v>
      </c>
      <c r="J289" s="55" t="str">
        <f t="shared" ca="1" si="46"/>
        <v/>
      </c>
      <c r="K289" s="55"/>
      <c r="L289" s="55"/>
      <c r="M289" s="55">
        <f t="shared" ca="1" si="47"/>
        <v>369</v>
      </c>
      <c r="N289" s="55">
        <f t="shared" ca="1" si="44"/>
        <v>369</v>
      </c>
    </row>
    <row r="290" spans="1:14" x14ac:dyDescent="0.3">
      <c r="A290" s="105">
        <v>300</v>
      </c>
      <c r="B290" s="105" t="str">
        <f>VLOOKUP( $A290, Aop!$A$2:$P$453, 2, 0)</f>
        <v>BTG</v>
      </c>
      <c r="C290" s="55">
        <v>29</v>
      </c>
      <c r="D290" s="55" t="str">
        <f t="shared" si="39"/>
        <v>01755633</v>
      </c>
      <c r="E290" s="55" t="str">
        <f t="shared" si="40"/>
        <v>4400228130004</v>
      </c>
      <c r="F290" s="55" t="b">
        <f t="shared" si="42"/>
        <v>0</v>
      </c>
      <c r="G290" s="139">
        <f t="shared" si="43"/>
        <v>44926</v>
      </c>
      <c r="H290" s="105">
        <f>VLOOKUP( $A290, Aop!$A$2:$P$453, 4, 0)</f>
        <v>517</v>
      </c>
      <c r="I290" s="55">
        <f t="shared" si="41"/>
        <v>2022</v>
      </c>
      <c r="J290" s="55" t="str">
        <f t="shared" ca="1" si="46"/>
        <v/>
      </c>
      <c r="K290" s="55"/>
      <c r="L290" s="55"/>
      <c r="M290" s="55" t="str">
        <f t="shared" ca="1" si="47"/>
        <v/>
      </c>
      <c r="N290" s="55" t="str">
        <f t="shared" ca="1" si="44"/>
        <v/>
      </c>
    </row>
    <row r="291" spans="1:14" x14ac:dyDescent="0.3">
      <c r="A291" s="105">
        <v>301</v>
      </c>
      <c r="B291" s="105" t="str">
        <f>VLOOKUP( $A291, Aop!$A$2:$P$453, 2, 0)</f>
        <v>BTG</v>
      </c>
      <c r="C291" s="55">
        <v>29</v>
      </c>
      <c r="D291" s="55" t="str">
        <f t="shared" si="39"/>
        <v>01755633</v>
      </c>
      <c r="E291" s="55" t="str">
        <f t="shared" si="40"/>
        <v>4400228130004</v>
      </c>
      <c r="F291" s="55" t="b">
        <f t="shared" si="42"/>
        <v>0</v>
      </c>
      <c r="G291" s="139">
        <f t="shared" si="43"/>
        <v>44926</v>
      </c>
      <c r="H291" s="105">
        <f>VLOOKUP( $A291, Aop!$A$2:$P$453, 4, 0)</f>
        <v>518</v>
      </c>
      <c r="I291" s="55">
        <f t="shared" si="41"/>
        <v>2022</v>
      </c>
      <c r="J291" s="55" t="str">
        <f t="shared" ca="1" si="46"/>
        <v/>
      </c>
      <c r="K291" s="55"/>
      <c r="L291" s="55"/>
      <c r="M291" s="55" t="str">
        <f t="shared" ca="1" si="47"/>
        <v/>
      </c>
      <c r="N291" s="55" t="str">
        <f t="shared" ca="1" si="44"/>
        <v/>
      </c>
    </row>
    <row r="292" spans="1:14" x14ac:dyDescent="0.3">
      <c r="A292" s="105">
        <v>302</v>
      </c>
      <c r="B292" s="105" t="str">
        <f>VLOOKUP( $A292, Aop!$A$2:$P$453, 2, 0)</f>
        <v>BTG</v>
      </c>
      <c r="C292" s="55">
        <v>29</v>
      </c>
      <c r="D292" s="55" t="str">
        <f t="shared" si="39"/>
        <v>01755633</v>
      </c>
      <c r="E292" s="55" t="str">
        <f t="shared" si="40"/>
        <v>4400228130004</v>
      </c>
      <c r="F292" s="55" t="b">
        <f t="shared" si="42"/>
        <v>0</v>
      </c>
      <c r="G292" s="139">
        <f t="shared" si="43"/>
        <v>44926</v>
      </c>
      <c r="H292" s="105">
        <f>VLOOKUP( $A292, Aop!$A$2:$P$453, 4, 0)</f>
        <v>519</v>
      </c>
      <c r="I292" s="55">
        <f t="shared" si="41"/>
        <v>2022</v>
      </c>
      <c r="J292" s="55" t="str">
        <f t="shared" ca="1" si="46"/>
        <v/>
      </c>
      <c r="K292" s="55"/>
      <c r="L292" s="55"/>
      <c r="M292" s="55" t="str">
        <f t="shared" ca="1" si="47"/>
        <v/>
      </c>
      <c r="N292" s="55" t="str">
        <f t="shared" ca="1" si="44"/>
        <v/>
      </c>
    </row>
    <row r="293" spans="1:14" x14ac:dyDescent="0.3">
      <c r="A293" s="105">
        <v>303</v>
      </c>
      <c r="B293" s="105" t="str">
        <f>VLOOKUP( $A293, Aop!$A$2:$P$453, 2, 0)</f>
        <v>BTG</v>
      </c>
      <c r="C293" s="55">
        <v>29</v>
      </c>
      <c r="D293" s="55" t="str">
        <f t="shared" si="39"/>
        <v>01755633</v>
      </c>
      <c r="E293" s="55" t="str">
        <f t="shared" si="40"/>
        <v>4400228130004</v>
      </c>
      <c r="F293" s="55" t="b">
        <f t="shared" si="42"/>
        <v>0</v>
      </c>
      <c r="G293" s="139">
        <f t="shared" si="43"/>
        <v>44926</v>
      </c>
      <c r="H293" s="105">
        <f>VLOOKUP( $A293, Aop!$A$2:$P$453, 4, 0)</f>
        <v>520</v>
      </c>
      <c r="I293" s="55">
        <f t="shared" si="41"/>
        <v>2022</v>
      </c>
      <c r="J293" s="55" t="str">
        <f t="shared" ca="1" si="46"/>
        <v/>
      </c>
      <c r="K293" s="55"/>
      <c r="L293" s="55"/>
      <c r="M293" s="55" t="str">
        <f t="shared" ca="1" si="47"/>
        <v/>
      </c>
      <c r="N293" s="55" t="str">
        <f t="shared" ca="1" si="44"/>
        <v/>
      </c>
    </row>
    <row r="294" spans="1:14" x14ac:dyDescent="0.3">
      <c r="A294" s="105">
        <v>304</v>
      </c>
      <c r="B294" s="105" t="str">
        <f>VLOOKUP( $A294, Aop!$A$2:$P$453, 2, 0)</f>
        <v>BTG</v>
      </c>
      <c r="C294" s="55">
        <v>29</v>
      </c>
      <c r="D294" s="55" t="str">
        <f t="shared" si="39"/>
        <v>01755633</v>
      </c>
      <c r="E294" s="55" t="str">
        <f t="shared" si="40"/>
        <v>4400228130004</v>
      </c>
      <c r="F294" s="55" t="b">
        <f t="shared" si="42"/>
        <v>0</v>
      </c>
      <c r="G294" s="139">
        <f t="shared" si="43"/>
        <v>44926</v>
      </c>
      <c r="H294" s="105">
        <f>VLOOKUP( $A294, Aop!$A$2:$P$453, 4, 0)</f>
        <v>521</v>
      </c>
      <c r="I294" s="55">
        <f t="shared" si="41"/>
        <v>2022</v>
      </c>
      <c r="J294" s="55" t="str">
        <f t="shared" ca="1" si="46"/>
        <v/>
      </c>
      <c r="K294" s="55"/>
      <c r="L294" s="55"/>
      <c r="M294" s="55" t="str">
        <f t="shared" ca="1" si="47"/>
        <v/>
      </c>
      <c r="N294" s="55" t="str">
        <f t="shared" ca="1" si="44"/>
        <v/>
      </c>
    </row>
    <row r="295" spans="1:14" x14ac:dyDescent="0.3">
      <c r="A295" s="105">
        <v>305</v>
      </c>
      <c r="B295" s="105" t="str">
        <f>VLOOKUP( $A295, Aop!$A$2:$P$453, 2, 0)</f>
        <v>BTG</v>
      </c>
      <c r="C295" s="55">
        <v>29</v>
      </c>
      <c r="D295" s="55" t="str">
        <f t="shared" si="39"/>
        <v>01755633</v>
      </c>
      <c r="E295" s="55" t="str">
        <f t="shared" si="40"/>
        <v>4400228130004</v>
      </c>
      <c r="F295" s="55" t="b">
        <f t="shared" si="42"/>
        <v>0</v>
      </c>
      <c r="G295" s="139">
        <f t="shared" si="43"/>
        <v>44926</v>
      </c>
      <c r="H295" s="105">
        <f>VLOOKUP( $A295, Aop!$A$2:$P$453, 4, 0)</f>
        <v>522</v>
      </c>
      <c r="I295" s="55">
        <f t="shared" si="41"/>
        <v>2022</v>
      </c>
      <c r="J295" s="55" t="str">
        <f t="shared" ca="1" si="46"/>
        <v/>
      </c>
      <c r="K295" s="55"/>
      <c r="L295" s="55"/>
      <c r="M295" s="55" t="str">
        <f t="shared" ca="1" si="47"/>
        <v/>
      </c>
      <c r="N295" s="55" t="str">
        <f t="shared" ca="1" si="44"/>
        <v/>
      </c>
    </row>
    <row r="296" spans="1:14" x14ac:dyDescent="0.3">
      <c r="A296" s="105">
        <v>306</v>
      </c>
      <c r="B296" s="105" t="str">
        <f>VLOOKUP( $A296, Aop!$A$2:$P$453, 2, 0)</f>
        <v>BTG</v>
      </c>
      <c r="C296" s="55">
        <v>29</v>
      </c>
      <c r="D296" s="55" t="str">
        <f t="shared" si="39"/>
        <v>01755633</v>
      </c>
      <c r="E296" s="55" t="str">
        <f t="shared" si="40"/>
        <v>4400228130004</v>
      </c>
      <c r="F296" s="55" t="b">
        <f t="shared" si="42"/>
        <v>0</v>
      </c>
      <c r="G296" s="139">
        <f t="shared" si="43"/>
        <v>44926</v>
      </c>
      <c r="H296" s="105">
        <f>VLOOKUP( $A296, Aop!$A$2:$P$453, 4, 0)</f>
        <v>523</v>
      </c>
      <c r="I296" s="55">
        <f t="shared" si="41"/>
        <v>2022</v>
      </c>
      <c r="J296" s="55" t="str">
        <f t="shared" ca="1" si="46"/>
        <v/>
      </c>
      <c r="K296" s="55"/>
      <c r="L296" s="55"/>
      <c r="M296" s="55" t="str">
        <f t="shared" ca="1" si="47"/>
        <v/>
      </c>
      <c r="N296" s="55" t="str">
        <f t="shared" ca="1" si="44"/>
        <v/>
      </c>
    </row>
    <row r="297" spans="1:14" x14ac:dyDescent="0.3">
      <c r="A297" s="105">
        <v>307</v>
      </c>
      <c r="B297" s="105" t="str">
        <f>VLOOKUP( $A297, Aop!$A$2:$P$453, 2, 0)</f>
        <v>BTG</v>
      </c>
      <c r="C297" s="55">
        <v>29</v>
      </c>
      <c r="D297" s="55" t="str">
        <f t="shared" si="39"/>
        <v>01755633</v>
      </c>
      <c r="E297" s="55" t="str">
        <f t="shared" si="40"/>
        <v>4400228130004</v>
      </c>
      <c r="F297" s="55" t="b">
        <f t="shared" si="42"/>
        <v>0</v>
      </c>
      <c r="G297" s="139">
        <f t="shared" si="43"/>
        <v>44926</v>
      </c>
      <c r="H297" s="105">
        <f>VLOOKUP( $A297, Aop!$A$2:$P$453, 4, 0)</f>
        <v>524</v>
      </c>
      <c r="I297" s="55">
        <f t="shared" si="41"/>
        <v>2022</v>
      </c>
      <c r="J297" s="55" t="str">
        <f t="shared" ca="1" si="46"/>
        <v/>
      </c>
      <c r="K297" s="55"/>
      <c r="L297" s="55"/>
      <c r="M297" s="55" t="str">
        <f t="shared" ca="1" si="47"/>
        <v/>
      </c>
      <c r="N297" s="55" t="str">
        <f t="shared" ca="1" si="44"/>
        <v/>
      </c>
    </row>
    <row r="298" spans="1:14" x14ac:dyDescent="0.3">
      <c r="A298" s="105">
        <v>308</v>
      </c>
      <c r="B298" s="105" t="str">
        <f>VLOOKUP( $A298, Aop!$A$2:$P$453, 2, 0)</f>
        <v>BTG</v>
      </c>
      <c r="C298" s="55">
        <v>29</v>
      </c>
      <c r="D298" s="55" t="str">
        <f t="shared" si="39"/>
        <v>01755633</v>
      </c>
      <c r="E298" s="55" t="str">
        <f t="shared" si="40"/>
        <v>4400228130004</v>
      </c>
      <c r="F298" s="55" t="b">
        <f t="shared" si="42"/>
        <v>0</v>
      </c>
      <c r="G298" s="139">
        <f t="shared" si="43"/>
        <v>44926</v>
      </c>
      <c r="H298" s="105">
        <f>VLOOKUP( $A298, Aop!$A$2:$P$453, 4, 0)</f>
        <v>525</v>
      </c>
      <c r="I298" s="55">
        <f t="shared" si="41"/>
        <v>2022</v>
      </c>
      <c r="J298" s="55" t="str">
        <f t="shared" ca="1" si="46"/>
        <v/>
      </c>
      <c r="K298" s="55"/>
      <c r="L298" s="55"/>
      <c r="M298" s="55" t="str">
        <f t="shared" ca="1" si="47"/>
        <v/>
      </c>
      <c r="N298" s="55" t="str">
        <f t="shared" ca="1" si="44"/>
        <v/>
      </c>
    </row>
    <row r="299" spans="1:14" x14ac:dyDescent="0.3">
      <c r="A299" s="105">
        <v>309</v>
      </c>
      <c r="B299" s="105" t="str">
        <f>VLOOKUP( $A299, Aop!$A$2:$P$453, 2, 0)</f>
        <v>BTG</v>
      </c>
      <c r="C299" s="55">
        <v>29</v>
      </c>
      <c r="D299" s="55" t="str">
        <f t="shared" si="39"/>
        <v>01755633</v>
      </c>
      <c r="E299" s="55" t="str">
        <f t="shared" si="40"/>
        <v>4400228130004</v>
      </c>
      <c r="F299" s="55" t="b">
        <f t="shared" si="42"/>
        <v>0</v>
      </c>
      <c r="G299" s="139">
        <f t="shared" si="43"/>
        <v>44926</v>
      </c>
      <c r="H299" s="105">
        <f>VLOOKUP( $A299, Aop!$A$2:$P$453, 4, 0)</f>
        <v>526</v>
      </c>
      <c r="I299" s="55">
        <f t="shared" si="41"/>
        <v>2022</v>
      </c>
      <c r="J299" s="55" t="str">
        <f t="shared" ca="1" si="46"/>
        <v/>
      </c>
      <c r="K299" s="55"/>
      <c r="L299" s="55"/>
      <c r="M299" s="55" t="str">
        <f t="shared" ca="1" si="47"/>
        <v/>
      </c>
      <c r="N299" s="55" t="str">
        <f t="shared" ca="1" si="44"/>
        <v/>
      </c>
    </row>
    <row r="300" spans="1:14" x14ac:dyDescent="0.3">
      <c r="A300" s="105">
        <v>310</v>
      </c>
      <c r="B300" s="105" t="str">
        <f>VLOOKUP( $A300, Aop!$A$2:$P$453, 2, 0)</f>
        <v>BTG</v>
      </c>
      <c r="C300" s="55">
        <v>29</v>
      </c>
      <c r="D300" s="55" t="str">
        <f t="shared" si="39"/>
        <v>01755633</v>
      </c>
      <c r="E300" s="55" t="str">
        <f t="shared" si="40"/>
        <v>4400228130004</v>
      </c>
      <c r="F300" s="55" t="b">
        <f t="shared" si="42"/>
        <v>0</v>
      </c>
      <c r="G300" s="139">
        <f t="shared" si="43"/>
        <v>44926</v>
      </c>
      <c r="H300" s="105">
        <f>VLOOKUP( $A300, Aop!$A$2:$P$453, 4, 0)</f>
        <v>527</v>
      </c>
      <c r="I300" s="55">
        <f t="shared" si="41"/>
        <v>2022</v>
      </c>
      <c r="J300" s="55" t="str">
        <f t="shared" ca="1" si="46"/>
        <v/>
      </c>
      <c r="K300" s="55"/>
      <c r="L300" s="55"/>
      <c r="M300" s="55">
        <f t="shared" ca="1" si="47"/>
        <v>169</v>
      </c>
      <c r="N300" s="55">
        <f t="shared" ca="1" si="44"/>
        <v>169</v>
      </c>
    </row>
    <row r="301" spans="1:14" x14ac:dyDescent="0.3">
      <c r="A301" s="105">
        <v>311</v>
      </c>
      <c r="B301" s="105" t="str">
        <f>VLOOKUP( $A301, Aop!$A$2:$P$453, 2, 0)</f>
        <v>BTG</v>
      </c>
      <c r="C301" s="55">
        <v>29</v>
      </c>
      <c r="D301" s="55" t="str">
        <f t="shared" si="39"/>
        <v>01755633</v>
      </c>
      <c r="E301" s="55" t="str">
        <f t="shared" si="40"/>
        <v>4400228130004</v>
      </c>
      <c r="F301" s="55" t="b">
        <f t="shared" si="42"/>
        <v>0</v>
      </c>
      <c r="G301" s="139">
        <f t="shared" si="43"/>
        <v>44926</v>
      </c>
      <c r="H301" s="105">
        <f>VLOOKUP( $A301, Aop!$A$2:$P$453, 4, 0)</f>
        <v>528</v>
      </c>
      <c r="I301" s="55">
        <f t="shared" si="41"/>
        <v>2022</v>
      </c>
      <c r="J301" s="55" t="str">
        <f t="shared" ca="1" si="46"/>
        <v/>
      </c>
      <c r="K301" s="55"/>
      <c r="L301" s="55"/>
      <c r="M301" s="55" t="str">
        <f t="shared" ca="1" si="47"/>
        <v/>
      </c>
      <c r="N301" s="55" t="str">
        <f t="shared" ca="1" si="44"/>
        <v/>
      </c>
    </row>
    <row r="302" spans="1:14" x14ac:dyDescent="0.3">
      <c r="A302" s="105">
        <v>312</v>
      </c>
      <c r="B302" s="105" t="str">
        <f>VLOOKUP( $A302, Aop!$A$2:$P$453, 2, 0)</f>
        <v>BTG</v>
      </c>
      <c r="C302" s="55">
        <v>29</v>
      </c>
      <c r="D302" s="55" t="str">
        <f t="shared" si="39"/>
        <v>01755633</v>
      </c>
      <c r="E302" s="55" t="str">
        <f t="shared" si="40"/>
        <v>4400228130004</v>
      </c>
      <c r="F302" s="55" t="b">
        <f t="shared" si="42"/>
        <v>0</v>
      </c>
      <c r="G302" s="139">
        <f t="shared" si="43"/>
        <v>44926</v>
      </c>
      <c r="H302" s="105">
        <f>VLOOKUP( $A302, Aop!$A$2:$P$453, 4, 0)</f>
        <v>529</v>
      </c>
      <c r="I302" s="55">
        <f t="shared" si="41"/>
        <v>2022</v>
      </c>
      <c r="J302" s="55" t="str">
        <f t="shared" ca="1" si="46"/>
        <v/>
      </c>
      <c r="K302" s="55"/>
      <c r="L302" s="55"/>
      <c r="M302" s="55" t="str">
        <f t="shared" ca="1" si="47"/>
        <v/>
      </c>
      <c r="N302" s="55" t="str">
        <f t="shared" ca="1" si="44"/>
        <v/>
      </c>
    </row>
    <row r="303" spans="1:14" x14ac:dyDescent="0.3">
      <c r="A303" s="105">
        <v>313</v>
      </c>
      <c r="B303" s="105" t="str">
        <f>VLOOKUP( $A303, Aop!$A$2:$P$453, 2, 0)</f>
        <v>BTG</v>
      </c>
      <c r="C303" s="55">
        <v>29</v>
      </c>
      <c r="D303" s="55" t="str">
        <f t="shared" si="39"/>
        <v>01755633</v>
      </c>
      <c r="E303" s="55" t="str">
        <f t="shared" si="40"/>
        <v>4400228130004</v>
      </c>
      <c r="F303" s="55" t="b">
        <f t="shared" si="42"/>
        <v>0</v>
      </c>
      <c r="G303" s="139">
        <f t="shared" si="43"/>
        <v>44926</v>
      </c>
      <c r="H303" s="105">
        <f>VLOOKUP( $A303, Aop!$A$2:$P$453, 4, 0)</f>
        <v>530</v>
      </c>
      <c r="I303" s="55">
        <f t="shared" si="41"/>
        <v>2022</v>
      </c>
      <c r="J303" s="55" t="str">
        <f t="shared" ca="1" si="46"/>
        <v/>
      </c>
      <c r="K303" s="55"/>
      <c r="L303" s="55"/>
      <c r="M303" s="55" t="str">
        <f t="shared" ca="1" si="47"/>
        <v/>
      </c>
      <c r="N303" s="55" t="str">
        <f t="shared" ca="1" si="44"/>
        <v/>
      </c>
    </row>
    <row r="304" spans="1:14" x14ac:dyDescent="0.3">
      <c r="A304" s="105">
        <v>314</v>
      </c>
      <c r="B304" s="105" t="str">
        <f>VLOOKUP( $A304, Aop!$A$2:$P$453, 2, 0)</f>
        <v>BTG</v>
      </c>
      <c r="C304" s="55">
        <v>29</v>
      </c>
      <c r="D304" s="55" t="str">
        <f t="shared" si="39"/>
        <v>01755633</v>
      </c>
      <c r="E304" s="55" t="str">
        <f t="shared" si="40"/>
        <v>4400228130004</v>
      </c>
      <c r="F304" s="55" t="b">
        <f t="shared" si="42"/>
        <v>0</v>
      </c>
      <c r="G304" s="139">
        <f t="shared" si="43"/>
        <v>44926</v>
      </c>
      <c r="H304" s="105">
        <f>VLOOKUP( $A304, Aop!$A$2:$P$453, 4, 0)</f>
        <v>531</v>
      </c>
      <c r="I304" s="55">
        <f t="shared" si="41"/>
        <v>2022</v>
      </c>
      <c r="J304" s="55" t="str">
        <f t="shared" ca="1" si="46"/>
        <v/>
      </c>
      <c r="K304" s="55"/>
      <c r="L304" s="55"/>
      <c r="M304" s="55">
        <f t="shared" ca="1" si="47"/>
        <v>204928</v>
      </c>
      <c r="N304" s="55">
        <f t="shared" ca="1" si="44"/>
        <v>204928</v>
      </c>
    </row>
    <row r="305" spans="1:14" x14ac:dyDescent="0.3">
      <c r="A305" s="105">
        <v>315</v>
      </c>
      <c r="B305" s="105" t="str">
        <f>VLOOKUP( $A305, Aop!$A$2:$P$453, 2, 0)</f>
        <v>BTG</v>
      </c>
      <c r="C305" s="55">
        <v>29</v>
      </c>
      <c r="D305" s="55" t="str">
        <f t="shared" si="39"/>
        <v>01755633</v>
      </c>
      <c r="E305" s="55" t="str">
        <f t="shared" si="40"/>
        <v>4400228130004</v>
      </c>
      <c r="F305" s="55" t="b">
        <f t="shared" si="42"/>
        <v>0</v>
      </c>
      <c r="G305" s="139">
        <f t="shared" si="43"/>
        <v>44926</v>
      </c>
      <c r="H305" s="105">
        <f>VLOOKUP( $A305, Aop!$A$2:$P$453, 4, 0)</f>
        <v>532</v>
      </c>
      <c r="I305" s="55">
        <f t="shared" si="41"/>
        <v>2022</v>
      </c>
      <c r="J305" s="55" t="str">
        <f t="shared" ca="1" si="46"/>
        <v/>
      </c>
      <c r="K305" s="55"/>
      <c r="L305" s="55"/>
      <c r="M305" s="55" t="str">
        <f t="shared" ca="1" si="47"/>
        <v/>
      </c>
      <c r="N305" s="55" t="str">
        <f t="shared" ca="1" si="44"/>
        <v/>
      </c>
    </row>
    <row r="306" spans="1:14" x14ac:dyDescent="0.3">
      <c r="A306" s="105">
        <v>316</v>
      </c>
      <c r="B306" s="105" t="str">
        <f>VLOOKUP( $A306, Aop!$A$2:$P$453, 2, 0)</f>
        <v>BTG</v>
      </c>
      <c r="C306" s="55">
        <v>29</v>
      </c>
      <c r="D306" s="55" t="str">
        <f t="shared" si="39"/>
        <v>01755633</v>
      </c>
      <c r="E306" s="55" t="str">
        <f t="shared" si="40"/>
        <v>4400228130004</v>
      </c>
      <c r="F306" s="55" t="b">
        <f t="shared" si="42"/>
        <v>0</v>
      </c>
      <c r="G306" s="139">
        <f t="shared" si="43"/>
        <v>44926</v>
      </c>
      <c r="H306" s="105">
        <f>VLOOKUP( $A306, Aop!$A$2:$P$453, 4, 0)</f>
        <v>533</v>
      </c>
      <c r="I306" s="55">
        <f t="shared" si="41"/>
        <v>2022</v>
      </c>
      <c r="J306" s="55" t="str">
        <f t="shared" ca="1" si="46"/>
        <v/>
      </c>
      <c r="K306" s="55"/>
      <c r="L306" s="55"/>
      <c r="M306" s="55">
        <f t="shared" ca="1" si="47"/>
        <v>204928</v>
      </c>
      <c r="N306" s="55">
        <f t="shared" ca="1" si="44"/>
        <v>204928</v>
      </c>
    </row>
    <row r="307" spans="1:14" x14ac:dyDescent="0.3">
      <c r="A307" s="105">
        <v>317</v>
      </c>
      <c r="B307" s="105" t="str">
        <f>VLOOKUP( $A307, Aop!$A$2:$P$453, 2, 0)</f>
        <v>BTG</v>
      </c>
      <c r="C307" s="55">
        <v>29</v>
      </c>
      <c r="D307" s="55" t="str">
        <f t="shared" si="39"/>
        <v>01755633</v>
      </c>
      <c r="E307" s="55" t="str">
        <f t="shared" si="40"/>
        <v>4400228130004</v>
      </c>
      <c r="F307" s="55" t="b">
        <f t="shared" si="42"/>
        <v>0</v>
      </c>
      <c r="G307" s="139">
        <f t="shared" si="43"/>
        <v>44926</v>
      </c>
      <c r="H307" s="105">
        <f>VLOOKUP( $A307, Aop!$A$2:$P$453, 4, 0)</f>
        <v>534</v>
      </c>
      <c r="I307" s="55">
        <f t="shared" si="41"/>
        <v>2022</v>
      </c>
      <c r="J307" s="55" t="str">
        <f t="shared" ca="1" si="46"/>
        <v/>
      </c>
      <c r="K307" s="55"/>
      <c r="L307" s="55"/>
      <c r="M307" s="55" t="str">
        <f t="shared" ca="1" si="47"/>
        <v/>
      </c>
      <c r="N307" s="55" t="str">
        <f t="shared" ca="1" si="44"/>
        <v/>
      </c>
    </row>
    <row r="308" spans="1:14" x14ac:dyDescent="0.3">
      <c r="A308" s="105">
        <v>318</v>
      </c>
      <c r="B308" s="105" t="str">
        <f>VLOOKUP( $A308, Aop!$A$2:$P$453, 2, 0)</f>
        <v>BTG</v>
      </c>
      <c r="C308" s="55">
        <v>29</v>
      </c>
      <c r="D308" s="55" t="str">
        <f t="shared" si="39"/>
        <v>01755633</v>
      </c>
      <c r="E308" s="55" t="str">
        <f t="shared" si="40"/>
        <v>4400228130004</v>
      </c>
      <c r="F308" s="55" t="b">
        <f t="shared" si="42"/>
        <v>0</v>
      </c>
      <c r="G308" s="139">
        <f t="shared" si="43"/>
        <v>44926</v>
      </c>
      <c r="H308" s="105">
        <f>VLOOKUP( $A308, Aop!$A$2:$P$453, 4, 0)</f>
        <v>535</v>
      </c>
      <c r="I308" s="55">
        <f t="shared" si="41"/>
        <v>2022</v>
      </c>
      <c r="J308" s="55" t="str">
        <f t="shared" ca="1" si="46"/>
        <v/>
      </c>
      <c r="K308" s="55"/>
      <c r="L308" s="55"/>
      <c r="M308" s="55" t="str">
        <f t="shared" ca="1" si="47"/>
        <v/>
      </c>
      <c r="N308" s="55" t="str">
        <f t="shared" ca="1" si="44"/>
        <v/>
      </c>
    </row>
    <row r="309" spans="1:14" x14ac:dyDescent="0.3">
      <c r="A309" s="105">
        <v>319</v>
      </c>
      <c r="B309" s="105" t="str">
        <f>VLOOKUP( $A309, Aop!$A$2:$P$453, 2, 0)</f>
        <v>BTG</v>
      </c>
      <c r="C309" s="55">
        <v>29</v>
      </c>
      <c r="D309" s="55" t="str">
        <f t="shared" si="39"/>
        <v>01755633</v>
      </c>
      <c r="E309" s="55" t="str">
        <f t="shared" si="40"/>
        <v>4400228130004</v>
      </c>
      <c r="F309" s="55" t="b">
        <f t="shared" si="42"/>
        <v>0</v>
      </c>
      <c r="G309" s="139">
        <f t="shared" si="43"/>
        <v>44926</v>
      </c>
      <c r="H309" s="105">
        <f>VLOOKUP( $A309, Aop!$A$2:$P$453, 4, 0)</f>
        <v>536</v>
      </c>
      <c r="I309" s="55">
        <f t="shared" si="41"/>
        <v>2022</v>
      </c>
      <c r="J309" s="55" t="str">
        <f t="shared" ca="1" si="46"/>
        <v/>
      </c>
      <c r="K309" s="55"/>
      <c r="L309" s="55"/>
      <c r="M309" s="55" t="str">
        <f t="shared" ca="1" si="47"/>
        <v/>
      </c>
      <c r="N309" s="55" t="str">
        <f t="shared" ca="1" si="44"/>
        <v/>
      </c>
    </row>
    <row r="310" spans="1:14" x14ac:dyDescent="0.3">
      <c r="A310" s="105">
        <v>320</v>
      </c>
      <c r="B310" s="105" t="str">
        <f>VLOOKUP( $A310, Aop!$A$2:$P$453, 2, 0)</f>
        <v>BTG</v>
      </c>
      <c r="C310" s="55">
        <v>29</v>
      </c>
      <c r="D310" s="55" t="str">
        <f t="shared" si="39"/>
        <v>01755633</v>
      </c>
      <c r="E310" s="55" t="str">
        <f t="shared" si="40"/>
        <v>4400228130004</v>
      </c>
      <c r="F310" s="55" t="b">
        <f t="shared" si="42"/>
        <v>0</v>
      </c>
      <c r="G310" s="139">
        <f t="shared" si="43"/>
        <v>44926</v>
      </c>
      <c r="H310" s="105">
        <f>VLOOKUP( $A310, Aop!$A$2:$P$453, 4, 0)</f>
        <v>537</v>
      </c>
      <c r="I310" s="55">
        <f t="shared" si="41"/>
        <v>2022</v>
      </c>
      <c r="J310" s="55" t="str">
        <f t="shared" ca="1" si="46"/>
        <v/>
      </c>
      <c r="K310" s="55"/>
      <c r="L310" s="55"/>
      <c r="M310" s="55" t="str">
        <f t="shared" ca="1" si="47"/>
        <v/>
      </c>
      <c r="N310" s="55" t="str">
        <f t="shared" ca="1" si="44"/>
        <v/>
      </c>
    </row>
    <row r="311" spans="1:14" x14ac:dyDescent="0.3">
      <c r="A311" s="105">
        <v>321</v>
      </c>
      <c r="B311" s="105" t="str">
        <f>VLOOKUP( $A311, Aop!$A$2:$P$453, 2, 0)</f>
        <v>BTG</v>
      </c>
      <c r="C311" s="55">
        <v>29</v>
      </c>
      <c r="D311" s="55" t="str">
        <f t="shared" ref="D311:D356" si="48">Podatak_MB</f>
        <v>01755633</v>
      </c>
      <c r="E311" s="55" t="str">
        <f t="shared" ref="E311:E356" si="49">Podatak_JIB</f>
        <v>4400228130004</v>
      </c>
      <c r="F311" s="55" t="b">
        <f t="shared" si="42"/>
        <v>0</v>
      </c>
      <c r="G311" s="139">
        <f t="shared" si="43"/>
        <v>44926</v>
      </c>
      <c r="H311" s="105">
        <f>VLOOKUP( $A311, Aop!$A$2:$P$453, 4, 0)</f>
        <v>538</v>
      </c>
      <c r="I311" s="55">
        <f t="shared" ref="I311:I356" si="50">Godina</f>
        <v>2022</v>
      </c>
      <c r="J311" s="55" t="str">
        <f t="shared" ca="1" si="46"/>
        <v/>
      </c>
      <c r="K311" s="55"/>
      <c r="L311" s="55"/>
      <c r="M311" s="55" t="str">
        <f t="shared" ca="1" si="47"/>
        <v/>
      </c>
      <c r="N311" s="55" t="str">
        <f t="shared" ca="1" si="44"/>
        <v/>
      </c>
    </row>
    <row r="312" spans="1:14" x14ac:dyDescent="0.3">
      <c r="A312" s="105">
        <v>322</v>
      </c>
      <c r="B312" s="105" t="str">
        <f>VLOOKUP( $A312, Aop!$A$2:$P$453, 2, 0)</f>
        <v>BTG</v>
      </c>
      <c r="C312" s="55">
        <v>29</v>
      </c>
      <c r="D312" s="55" t="str">
        <f t="shared" si="48"/>
        <v>01755633</v>
      </c>
      <c r="E312" s="55" t="str">
        <f t="shared" si="49"/>
        <v>4400228130004</v>
      </c>
      <c r="F312" s="55" t="b">
        <f t="shared" ref="F312:F356" si="51">Konsolidovan_izvjestaj</f>
        <v>0</v>
      </c>
      <c r="G312" s="139">
        <f t="shared" ref="G312:G356" si="52">Datum_Broj</f>
        <v>44926</v>
      </c>
      <c r="H312" s="105">
        <f>VLOOKUP( $A312, Aop!$A$2:$P$453, 4, 0)</f>
        <v>539</v>
      </c>
      <c r="I312" s="55">
        <f t="shared" si="50"/>
        <v>2022</v>
      </c>
      <c r="J312" s="55" t="str">
        <f t="shared" ca="1" si="46"/>
        <v/>
      </c>
      <c r="K312" s="55"/>
      <c r="L312" s="55"/>
      <c r="M312" s="55" t="str">
        <f t="shared" ca="1" si="47"/>
        <v/>
      </c>
      <c r="N312" s="55" t="str">
        <f t="shared" ca="1" si="44"/>
        <v/>
      </c>
    </row>
    <row r="313" spans="1:14" x14ac:dyDescent="0.3">
      <c r="A313" s="105">
        <v>323</v>
      </c>
      <c r="B313" s="105" t="str">
        <f>VLOOKUP( $A313, Aop!$A$2:$P$453, 2, 0)</f>
        <v>BTG</v>
      </c>
      <c r="C313" s="55">
        <v>29</v>
      </c>
      <c r="D313" s="55" t="str">
        <f t="shared" si="48"/>
        <v>01755633</v>
      </c>
      <c r="E313" s="55" t="str">
        <f t="shared" si="49"/>
        <v>4400228130004</v>
      </c>
      <c r="F313" s="55" t="b">
        <f t="shared" si="51"/>
        <v>0</v>
      </c>
      <c r="G313" s="139">
        <f t="shared" si="52"/>
        <v>44926</v>
      </c>
      <c r="H313" s="105">
        <f>VLOOKUP( $A313, Aop!$A$2:$P$453, 4, 0)</f>
        <v>540</v>
      </c>
      <c r="I313" s="55">
        <f t="shared" si="50"/>
        <v>2022</v>
      </c>
      <c r="J313" s="55" t="str">
        <f t="shared" ca="1" si="46"/>
        <v/>
      </c>
      <c r="K313" s="55"/>
      <c r="L313" s="55"/>
      <c r="M313" s="55" t="str">
        <f t="shared" ca="1" si="47"/>
        <v/>
      </c>
      <c r="N313" s="55" t="str">
        <f t="shared" ca="1" si="44"/>
        <v/>
      </c>
    </row>
    <row r="314" spans="1:14" x14ac:dyDescent="0.3">
      <c r="A314" s="105">
        <v>324</v>
      </c>
      <c r="B314" s="105" t="str">
        <f>VLOOKUP( $A314, Aop!$A$2:$P$453, 2, 0)</f>
        <v>BTG</v>
      </c>
      <c r="C314" s="55">
        <v>29</v>
      </c>
      <c r="D314" s="55" t="str">
        <f t="shared" si="48"/>
        <v>01755633</v>
      </c>
      <c r="E314" s="55" t="str">
        <f t="shared" si="49"/>
        <v>4400228130004</v>
      </c>
      <c r="F314" s="55" t="b">
        <f t="shared" si="51"/>
        <v>0</v>
      </c>
      <c r="G314" s="139">
        <f t="shared" si="52"/>
        <v>44926</v>
      </c>
      <c r="H314" s="105">
        <f>VLOOKUP( $A314, Aop!$A$2:$P$453, 4, 0)</f>
        <v>541</v>
      </c>
      <c r="I314" s="55">
        <f t="shared" si="50"/>
        <v>2022</v>
      </c>
      <c r="J314" s="55" t="str">
        <f t="shared" ca="1" si="46"/>
        <v/>
      </c>
      <c r="K314" s="55"/>
      <c r="L314" s="55"/>
      <c r="M314" s="55" t="str">
        <f t="shared" ca="1" si="47"/>
        <v/>
      </c>
      <c r="N314" s="55" t="str">
        <f t="shared" ca="1" si="44"/>
        <v/>
      </c>
    </row>
    <row r="315" spans="1:14" x14ac:dyDescent="0.3">
      <c r="A315" s="105">
        <v>325</v>
      </c>
      <c r="B315" s="105" t="str">
        <f>VLOOKUP( $A315, Aop!$A$2:$P$453, 2, 0)</f>
        <v>BTG</v>
      </c>
      <c r="C315" s="55">
        <v>29</v>
      </c>
      <c r="D315" s="55" t="str">
        <f t="shared" si="48"/>
        <v>01755633</v>
      </c>
      <c r="E315" s="55" t="str">
        <f t="shared" si="49"/>
        <v>4400228130004</v>
      </c>
      <c r="F315" s="55" t="b">
        <f t="shared" si="51"/>
        <v>0</v>
      </c>
      <c r="G315" s="139">
        <f t="shared" si="52"/>
        <v>44926</v>
      </c>
      <c r="H315" s="105">
        <f>VLOOKUP( $A315, Aop!$A$2:$P$453, 4, 0)</f>
        <v>542</v>
      </c>
      <c r="I315" s="55">
        <f t="shared" si="50"/>
        <v>2022</v>
      </c>
      <c r="J315" s="55" t="str">
        <f t="shared" ca="1" si="46"/>
        <v/>
      </c>
      <c r="K315" s="55"/>
      <c r="L315" s="55"/>
      <c r="M315" s="55">
        <f t="shared" ca="1" si="47"/>
        <v>0</v>
      </c>
      <c r="N315" s="55">
        <f t="shared" ca="1" si="44"/>
        <v>0</v>
      </c>
    </row>
    <row r="316" spans="1:14" x14ac:dyDescent="0.3">
      <c r="A316" s="105">
        <v>326</v>
      </c>
      <c r="B316" s="105" t="str">
        <f>VLOOKUP( $A316, Aop!$A$2:$P$453, 2, 0)</f>
        <v>BTG</v>
      </c>
      <c r="C316" s="55">
        <v>29</v>
      </c>
      <c r="D316" s="55" t="str">
        <f t="shared" si="48"/>
        <v>01755633</v>
      </c>
      <c r="E316" s="55" t="str">
        <f t="shared" si="49"/>
        <v>4400228130004</v>
      </c>
      <c r="F316" s="55" t="b">
        <f t="shared" si="51"/>
        <v>0</v>
      </c>
      <c r="G316" s="139">
        <f t="shared" si="52"/>
        <v>44926</v>
      </c>
      <c r="H316" s="105">
        <f>VLOOKUP( $A316, Aop!$A$2:$P$453, 4, 0)</f>
        <v>543</v>
      </c>
      <c r="I316" s="55">
        <f t="shared" si="50"/>
        <v>2022</v>
      </c>
      <c r="J316" s="55" t="str">
        <f t="shared" ca="1" si="46"/>
        <v/>
      </c>
      <c r="K316" s="55"/>
      <c r="L316" s="55"/>
      <c r="M316" s="55">
        <f t="shared" ca="1" si="47"/>
        <v>204559</v>
      </c>
      <c r="N316" s="55">
        <f t="shared" ca="1" si="44"/>
        <v>204559</v>
      </c>
    </row>
    <row r="317" spans="1:14" x14ac:dyDescent="0.3">
      <c r="A317" s="105">
        <v>327</v>
      </c>
      <c r="B317" s="105" t="str">
        <f>VLOOKUP( $A317, Aop!$A$2:$P$453, 2, 0)</f>
        <v>BTG</v>
      </c>
      <c r="C317" s="55">
        <v>29</v>
      </c>
      <c r="D317" s="55" t="str">
        <f t="shared" si="48"/>
        <v>01755633</v>
      </c>
      <c r="E317" s="55" t="str">
        <f t="shared" si="49"/>
        <v>4400228130004</v>
      </c>
      <c r="F317" s="55" t="b">
        <f t="shared" si="51"/>
        <v>0</v>
      </c>
      <c r="G317" s="139">
        <f t="shared" si="52"/>
        <v>44926</v>
      </c>
      <c r="H317" s="105">
        <f>VLOOKUP( $A317, Aop!$A$2:$P$453, 4, 0)</f>
        <v>544</v>
      </c>
      <c r="I317" s="55">
        <f t="shared" si="50"/>
        <v>2022</v>
      </c>
      <c r="J317" s="55" t="str">
        <f t="shared" ca="1" si="46"/>
        <v/>
      </c>
      <c r="K317" s="55"/>
      <c r="L317" s="55"/>
      <c r="M317" s="55">
        <f t="shared" ca="1" si="47"/>
        <v>0</v>
      </c>
      <c r="N317" s="55">
        <f t="shared" ca="1" si="44"/>
        <v>0</v>
      </c>
    </row>
    <row r="318" spans="1:14" x14ac:dyDescent="0.3">
      <c r="A318" s="105">
        <v>328</v>
      </c>
      <c r="B318" s="105" t="str">
        <f>VLOOKUP( $A318, Aop!$A$2:$P$453, 2, 0)</f>
        <v>BTG</v>
      </c>
      <c r="C318" s="55">
        <v>29</v>
      </c>
      <c r="D318" s="55" t="str">
        <f t="shared" si="48"/>
        <v>01755633</v>
      </c>
      <c r="E318" s="55" t="str">
        <f t="shared" si="49"/>
        <v>4400228130004</v>
      </c>
      <c r="F318" s="55" t="b">
        <f t="shared" si="51"/>
        <v>0</v>
      </c>
      <c r="G318" s="139">
        <f t="shared" si="52"/>
        <v>44926</v>
      </c>
      <c r="H318" s="105">
        <f>VLOOKUP( $A318, Aop!$A$2:$P$453, 4, 0)</f>
        <v>545</v>
      </c>
      <c r="I318" s="55">
        <f t="shared" si="50"/>
        <v>2022</v>
      </c>
      <c r="J318" s="55" t="str">
        <f t="shared" ca="1" si="46"/>
        <v/>
      </c>
      <c r="K318" s="55"/>
      <c r="L318" s="55"/>
      <c r="M318" s="55" t="str">
        <f t="shared" ca="1" si="47"/>
        <v/>
      </c>
      <c r="N318" s="55" t="str">
        <f t="shared" ca="1" si="44"/>
        <v/>
      </c>
    </row>
    <row r="319" spans="1:14" x14ac:dyDescent="0.3">
      <c r="A319" s="105">
        <v>329</v>
      </c>
      <c r="B319" s="105" t="str">
        <f>VLOOKUP( $A319, Aop!$A$2:$P$453, 2, 0)</f>
        <v>BTG</v>
      </c>
      <c r="C319" s="55">
        <v>29</v>
      </c>
      <c r="D319" s="55" t="str">
        <f t="shared" si="48"/>
        <v>01755633</v>
      </c>
      <c r="E319" s="55" t="str">
        <f t="shared" si="49"/>
        <v>4400228130004</v>
      </c>
      <c r="F319" s="55" t="b">
        <f t="shared" si="51"/>
        <v>0</v>
      </c>
      <c r="G319" s="139">
        <f t="shared" si="52"/>
        <v>44926</v>
      </c>
      <c r="H319" s="105">
        <f>VLOOKUP( $A319, Aop!$A$2:$P$453, 4, 0)</f>
        <v>546</v>
      </c>
      <c r="I319" s="55">
        <f t="shared" si="50"/>
        <v>2022</v>
      </c>
      <c r="J319" s="55" t="str">
        <f t="shared" ca="1" si="46"/>
        <v/>
      </c>
      <c r="K319" s="55"/>
      <c r="L319" s="55"/>
      <c r="M319" s="55" t="str">
        <f t="shared" ca="1" si="47"/>
        <v/>
      </c>
      <c r="N319" s="55" t="str">
        <f t="shared" ca="1" si="44"/>
        <v/>
      </c>
    </row>
    <row r="320" spans="1:14" x14ac:dyDescent="0.3">
      <c r="A320" s="105">
        <v>330</v>
      </c>
      <c r="B320" s="105" t="str">
        <f>VLOOKUP( $A320, Aop!$A$2:$P$453, 2, 0)</f>
        <v>BTG</v>
      </c>
      <c r="C320" s="55">
        <v>29</v>
      </c>
      <c r="D320" s="55" t="str">
        <f t="shared" si="48"/>
        <v>01755633</v>
      </c>
      <c r="E320" s="55" t="str">
        <f t="shared" si="49"/>
        <v>4400228130004</v>
      </c>
      <c r="F320" s="55" t="b">
        <f t="shared" si="51"/>
        <v>0</v>
      </c>
      <c r="G320" s="139">
        <f t="shared" si="52"/>
        <v>44926</v>
      </c>
      <c r="H320" s="105">
        <f>VLOOKUP( $A320, Aop!$A$2:$P$453, 4, 0)</f>
        <v>547</v>
      </c>
      <c r="I320" s="55">
        <f t="shared" si="50"/>
        <v>2022</v>
      </c>
      <c r="J320" s="55" t="str">
        <f t="shared" ca="1" si="46"/>
        <v/>
      </c>
      <c r="K320" s="55"/>
      <c r="L320" s="55"/>
      <c r="M320" s="55" t="str">
        <f t="shared" ca="1" si="47"/>
        <v/>
      </c>
      <c r="N320" s="55" t="str">
        <f t="shared" ca="1" si="44"/>
        <v/>
      </c>
    </row>
    <row r="321" spans="1:14" x14ac:dyDescent="0.3">
      <c r="A321" s="105">
        <v>331</v>
      </c>
      <c r="B321" s="105" t="str">
        <f>VLOOKUP( $A321, Aop!$A$2:$P$453, 2, 0)</f>
        <v>BTG</v>
      </c>
      <c r="C321" s="55">
        <v>29</v>
      </c>
      <c r="D321" s="55" t="str">
        <f t="shared" si="48"/>
        <v>01755633</v>
      </c>
      <c r="E321" s="55" t="str">
        <f t="shared" si="49"/>
        <v>4400228130004</v>
      </c>
      <c r="F321" s="55" t="b">
        <f t="shared" si="51"/>
        <v>0</v>
      </c>
      <c r="G321" s="139">
        <f t="shared" si="52"/>
        <v>44926</v>
      </c>
      <c r="H321" s="105">
        <f>VLOOKUP( $A321, Aop!$A$2:$P$453, 4, 0)</f>
        <v>548</v>
      </c>
      <c r="I321" s="55">
        <f t="shared" si="50"/>
        <v>2022</v>
      </c>
      <c r="J321" s="55" t="str">
        <f t="shared" ca="1" si="46"/>
        <v/>
      </c>
      <c r="K321" s="55"/>
      <c r="L321" s="55"/>
      <c r="M321" s="55" t="str">
        <f t="shared" ca="1" si="47"/>
        <v/>
      </c>
      <c r="N321" s="55" t="str">
        <f t="shared" ca="1" si="44"/>
        <v/>
      </c>
    </row>
    <row r="322" spans="1:14" x14ac:dyDescent="0.3">
      <c r="A322" s="105">
        <v>332</v>
      </c>
      <c r="B322" s="105" t="str">
        <f>VLOOKUP( $A322, Aop!$A$2:$P$453, 2, 0)</f>
        <v>BTG</v>
      </c>
      <c r="C322" s="55">
        <v>29</v>
      </c>
      <c r="D322" s="55" t="str">
        <f t="shared" si="48"/>
        <v>01755633</v>
      </c>
      <c r="E322" s="55" t="str">
        <f t="shared" si="49"/>
        <v>4400228130004</v>
      </c>
      <c r="F322" s="55" t="b">
        <f t="shared" si="51"/>
        <v>0</v>
      </c>
      <c r="G322" s="139">
        <f t="shared" si="52"/>
        <v>44926</v>
      </c>
      <c r="H322" s="105">
        <f>VLOOKUP( $A322, Aop!$A$2:$P$453, 4, 0)</f>
        <v>549</v>
      </c>
      <c r="I322" s="55">
        <f t="shared" si="50"/>
        <v>2022</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3">
      <c r="A323" s="105">
        <v>333</v>
      </c>
      <c r="B323" s="105" t="str">
        <f>VLOOKUP( $A323, Aop!$A$2:$P$453, 2, 0)</f>
        <v>BTG</v>
      </c>
      <c r="C323" s="55">
        <v>29</v>
      </c>
      <c r="D323" s="55" t="str">
        <f t="shared" si="48"/>
        <v>01755633</v>
      </c>
      <c r="E323" s="55" t="str">
        <f t="shared" si="49"/>
        <v>4400228130004</v>
      </c>
      <c r="F323" s="55" t="b">
        <f t="shared" si="51"/>
        <v>0</v>
      </c>
      <c r="G323" s="139">
        <f t="shared" si="52"/>
        <v>44926</v>
      </c>
      <c r="H323" s="105">
        <f>VLOOKUP( $A323, Aop!$A$2:$P$453, 4, 0)</f>
        <v>550</v>
      </c>
      <c r="I323" s="55">
        <f t="shared" si="50"/>
        <v>2022</v>
      </c>
      <c r="J323" s="55" t="str">
        <f t="shared" ca="1" si="46"/>
        <v/>
      </c>
      <c r="K323" s="55"/>
      <c r="L323" s="55"/>
      <c r="M323" s="55" t="str">
        <f t="shared" ca="1" si="47"/>
        <v/>
      </c>
      <c r="N323" s="55" t="str">
        <f t="shared" ca="1" si="53"/>
        <v/>
      </c>
    </row>
    <row r="324" spans="1:14" x14ac:dyDescent="0.3">
      <c r="A324" s="105">
        <v>334</v>
      </c>
      <c r="B324" s="105" t="str">
        <f>VLOOKUP( $A324, Aop!$A$2:$P$453, 2, 0)</f>
        <v>BTG</v>
      </c>
      <c r="C324" s="55">
        <v>29</v>
      </c>
      <c r="D324" s="55" t="str">
        <f t="shared" si="48"/>
        <v>01755633</v>
      </c>
      <c r="E324" s="55" t="str">
        <f t="shared" si="49"/>
        <v>4400228130004</v>
      </c>
      <c r="F324" s="55" t="b">
        <f t="shared" si="51"/>
        <v>0</v>
      </c>
      <c r="G324" s="139">
        <f t="shared" si="52"/>
        <v>44926</v>
      </c>
      <c r="H324" s="105">
        <f>VLOOKUP( $A324, Aop!$A$2:$P$453, 4, 0)</f>
        <v>551</v>
      </c>
      <c r="I324" s="55">
        <f t="shared" si="50"/>
        <v>2022</v>
      </c>
      <c r="J324" s="55" t="str">
        <f t="shared" ca="1" si="46"/>
        <v/>
      </c>
      <c r="K324" s="55"/>
      <c r="L324" s="55"/>
      <c r="M324" s="55">
        <f t="shared" ca="1" si="47"/>
        <v>0</v>
      </c>
      <c r="N324" s="55">
        <f t="shared" ca="1" si="53"/>
        <v>0</v>
      </c>
    </row>
    <row r="325" spans="1:14" x14ac:dyDescent="0.3">
      <c r="A325" s="105">
        <v>335</v>
      </c>
      <c r="B325" s="105" t="str">
        <f>VLOOKUP( $A325, Aop!$A$2:$P$453, 2, 0)</f>
        <v>BTG</v>
      </c>
      <c r="C325" s="55">
        <v>29</v>
      </c>
      <c r="D325" s="55" t="str">
        <f t="shared" si="48"/>
        <v>01755633</v>
      </c>
      <c r="E325" s="55" t="str">
        <f t="shared" si="49"/>
        <v>4400228130004</v>
      </c>
      <c r="F325" s="55" t="b">
        <f t="shared" si="51"/>
        <v>0</v>
      </c>
      <c r="G325" s="139">
        <f t="shared" si="52"/>
        <v>44926</v>
      </c>
      <c r="H325" s="105">
        <f>VLOOKUP( $A325, Aop!$A$2:$P$453, 4, 0)</f>
        <v>552</v>
      </c>
      <c r="I325" s="55">
        <f t="shared" si="50"/>
        <v>2022</v>
      </c>
      <c r="J325" s="55" t="str">
        <f t="shared" ca="1" si="46"/>
        <v/>
      </c>
      <c r="K325" s="55"/>
      <c r="L325" s="55"/>
      <c r="M325" s="55" t="str">
        <f t="shared" ca="1" si="47"/>
        <v/>
      </c>
      <c r="N325" s="55" t="str">
        <f t="shared" ca="1" si="53"/>
        <v/>
      </c>
    </row>
    <row r="326" spans="1:14" x14ac:dyDescent="0.3">
      <c r="A326" s="105">
        <v>336</v>
      </c>
      <c r="B326" s="105" t="str">
        <f>VLOOKUP( $A326, Aop!$A$2:$P$453, 2, 0)</f>
        <v>BTG</v>
      </c>
      <c r="C326" s="55">
        <v>29</v>
      </c>
      <c r="D326" s="55" t="str">
        <f t="shared" si="48"/>
        <v>01755633</v>
      </c>
      <c r="E326" s="55" t="str">
        <f t="shared" si="49"/>
        <v>4400228130004</v>
      </c>
      <c r="F326" s="55" t="b">
        <f t="shared" si="51"/>
        <v>0</v>
      </c>
      <c r="G326" s="139">
        <f t="shared" si="52"/>
        <v>44926</v>
      </c>
      <c r="H326" s="105">
        <f>VLOOKUP( $A326, Aop!$A$2:$P$453, 4, 0)</f>
        <v>553</v>
      </c>
      <c r="I326" s="55">
        <f t="shared" si="50"/>
        <v>2022</v>
      </c>
      <c r="J326" s="55" t="str">
        <f t="shared" ca="1" si="46"/>
        <v/>
      </c>
      <c r="K326" s="55"/>
      <c r="L326" s="55"/>
      <c r="M326" s="55" t="str">
        <f t="shared" ca="1" si="47"/>
        <v/>
      </c>
      <c r="N326" s="55" t="str">
        <f t="shared" ca="1" si="53"/>
        <v/>
      </c>
    </row>
    <row r="327" spans="1:14" x14ac:dyDescent="0.3">
      <c r="A327" s="105">
        <v>337</v>
      </c>
      <c r="B327" s="105" t="str">
        <f>VLOOKUP( $A327, Aop!$A$2:$P$453, 2, 0)</f>
        <v>BTG</v>
      </c>
      <c r="C327" s="55">
        <v>29</v>
      </c>
      <c r="D327" s="55" t="str">
        <f t="shared" si="48"/>
        <v>01755633</v>
      </c>
      <c r="E327" s="55" t="str">
        <f t="shared" si="49"/>
        <v>4400228130004</v>
      </c>
      <c r="F327" s="55" t="b">
        <f t="shared" si="51"/>
        <v>0</v>
      </c>
      <c r="G327" s="139">
        <f t="shared" si="52"/>
        <v>44926</v>
      </c>
      <c r="H327" s="105">
        <f>VLOOKUP( $A327, Aop!$A$2:$P$453, 4, 0)</f>
        <v>554</v>
      </c>
      <c r="I327" s="55">
        <f t="shared" si="50"/>
        <v>2022</v>
      </c>
      <c r="J327" s="55" t="str">
        <f t="shared" ca="1" si="46"/>
        <v/>
      </c>
      <c r="K327" s="55"/>
      <c r="L327" s="55"/>
      <c r="M327" s="55" t="str">
        <f t="shared" ca="1" si="47"/>
        <v/>
      </c>
      <c r="N327" s="55" t="str">
        <f t="shared" ca="1" si="53"/>
        <v/>
      </c>
    </row>
    <row r="328" spans="1:14" x14ac:dyDescent="0.3">
      <c r="A328" s="105">
        <v>338</v>
      </c>
      <c r="B328" s="105" t="str">
        <f>VLOOKUP( $A328, Aop!$A$2:$P$453, 2, 0)</f>
        <v>BTG</v>
      </c>
      <c r="C328" s="55">
        <v>29</v>
      </c>
      <c r="D328" s="55" t="str">
        <f t="shared" si="48"/>
        <v>01755633</v>
      </c>
      <c r="E328" s="55" t="str">
        <f t="shared" si="49"/>
        <v>4400228130004</v>
      </c>
      <c r="F328" s="55" t="b">
        <f t="shared" si="51"/>
        <v>0</v>
      </c>
      <c r="G328" s="139">
        <f t="shared" si="52"/>
        <v>44926</v>
      </c>
      <c r="H328" s="105">
        <f>VLOOKUP( $A328, Aop!$A$2:$P$453, 4, 0)</f>
        <v>555</v>
      </c>
      <c r="I328" s="55">
        <f t="shared" si="50"/>
        <v>2022</v>
      </c>
      <c r="J328" s="55" t="str">
        <f t="shared" ca="1" si="46"/>
        <v/>
      </c>
      <c r="K328" s="55"/>
      <c r="L328" s="55"/>
      <c r="M328" s="55" t="str">
        <f t="shared" ca="1" si="47"/>
        <v/>
      </c>
      <c r="N328" s="55" t="str">
        <f t="shared" ca="1" si="53"/>
        <v/>
      </c>
    </row>
    <row r="329" spans="1:14" x14ac:dyDescent="0.3">
      <c r="A329" s="105">
        <v>339</v>
      </c>
      <c r="B329" s="105" t="str">
        <f>VLOOKUP( $A329, Aop!$A$2:$P$453, 2, 0)</f>
        <v>BTG</v>
      </c>
      <c r="C329" s="55">
        <v>29</v>
      </c>
      <c r="D329" s="55" t="str">
        <f t="shared" si="48"/>
        <v>01755633</v>
      </c>
      <c r="E329" s="55" t="str">
        <f t="shared" si="49"/>
        <v>4400228130004</v>
      </c>
      <c r="F329" s="55" t="b">
        <f t="shared" si="51"/>
        <v>0</v>
      </c>
      <c r="G329" s="139">
        <f t="shared" si="52"/>
        <v>44926</v>
      </c>
      <c r="H329" s="105">
        <f>VLOOKUP( $A329, Aop!$A$2:$P$453, 4, 0)</f>
        <v>556</v>
      </c>
      <c r="I329" s="55">
        <f t="shared" si="50"/>
        <v>2022</v>
      </c>
      <c r="J329" s="55" t="str">
        <f t="shared" ca="1" si="46"/>
        <v/>
      </c>
      <c r="K329" s="55"/>
      <c r="L329" s="55"/>
      <c r="M329" s="55" t="str">
        <f t="shared" ca="1" si="47"/>
        <v/>
      </c>
      <c r="N329" s="55" t="str">
        <f t="shared" ca="1" si="53"/>
        <v/>
      </c>
    </row>
    <row r="330" spans="1:14" x14ac:dyDescent="0.3">
      <c r="A330" s="105">
        <v>340</v>
      </c>
      <c r="B330" s="105" t="str">
        <f>VLOOKUP( $A330, Aop!$A$2:$P$453, 2, 0)</f>
        <v>BTG</v>
      </c>
      <c r="C330" s="55">
        <v>29</v>
      </c>
      <c r="D330" s="55" t="str">
        <f t="shared" si="48"/>
        <v>01755633</v>
      </c>
      <c r="E330" s="55" t="str">
        <f t="shared" si="49"/>
        <v>4400228130004</v>
      </c>
      <c r="F330" s="55" t="b">
        <f t="shared" si="51"/>
        <v>0</v>
      </c>
      <c r="G330" s="139">
        <f t="shared" si="52"/>
        <v>44926</v>
      </c>
      <c r="H330" s="105">
        <f>VLOOKUP( $A330, Aop!$A$2:$P$453, 4, 0)</f>
        <v>557</v>
      </c>
      <c r="I330" s="55">
        <f t="shared" si="50"/>
        <v>2022</v>
      </c>
      <c r="J330" s="55" t="str">
        <f t="shared" ca="1" si="46"/>
        <v/>
      </c>
      <c r="K330" s="55"/>
      <c r="L330" s="55"/>
      <c r="M330" s="55" t="str">
        <f t="shared" ca="1" si="47"/>
        <v/>
      </c>
      <c r="N330" s="55" t="str">
        <f t="shared" ca="1" si="53"/>
        <v/>
      </c>
    </row>
    <row r="331" spans="1:14" x14ac:dyDescent="0.3">
      <c r="A331" s="105">
        <v>341</v>
      </c>
      <c r="B331" s="105" t="str">
        <f>VLOOKUP( $A331, Aop!$A$2:$P$453, 2, 0)</f>
        <v>BTG</v>
      </c>
      <c r="C331" s="55">
        <v>29</v>
      </c>
      <c r="D331" s="55" t="str">
        <f t="shared" si="48"/>
        <v>01755633</v>
      </c>
      <c r="E331" s="55" t="str">
        <f t="shared" si="49"/>
        <v>4400228130004</v>
      </c>
      <c r="F331" s="55" t="b">
        <f t="shared" si="51"/>
        <v>0</v>
      </c>
      <c r="G331" s="139">
        <f t="shared" si="52"/>
        <v>44926</v>
      </c>
      <c r="H331" s="105">
        <f>VLOOKUP( $A331, Aop!$A$2:$P$453, 4, 0)</f>
        <v>558</v>
      </c>
      <c r="I331" s="55">
        <f t="shared" si="50"/>
        <v>2022</v>
      </c>
      <c r="J331" s="55" t="str">
        <f t="shared" ca="1" si="46"/>
        <v/>
      </c>
      <c r="K331" s="55"/>
      <c r="L331" s="55"/>
      <c r="M331" s="55" t="str">
        <f t="shared" ca="1" si="47"/>
        <v/>
      </c>
      <c r="N331" s="55" t="str">
        <f t="shared" ca="1" si="53"/>
        <v/>
      </c>
    </row>
    <row r="332" spans="1:14" x14ac:dyDescent="0.3">
      <c r="A332" s="105">
        <v>342</v>
      </c>
      <c r="B332" s="105" t="str">
        <f>VLOOKUP( $A332, Aop!$A$2:$P$453, 2, 0)</f>
        <v>BTG</v>
      </c>
      <c r="C332" s="55">
        <v>29</v>
      </c>
      <c r="D332" s="55" t="str">
        <f t="shared" si="48"/>
        <v>01755633</v>
      </c>
      <c r="E332" s="55" t="str">
        <f t="shared" si="49"/>
        <v>4400228130004</v>
      </c>
      <c r="F332" s="55" t="b">
        <f t="shared" si="51"/>
        <v>0</v>
      </c>
      <c r="G332" s="139">
        <f t="shared" si="52"/>
        <v>44926</v>
      </c>
      <c r="H332" s="105">
        <f>VLOOKUP( $A332, Aop!$A$2:$P$453, 4, 0)</f>
        <v>559</v>
      </c>
      <c r="I332" s="55">
        <f t="shared" si="50"/>
        <v>2022</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3">
      <c r="A333" s="105">
        <v>343</v>
      </c>
      <c r="B333" s="105" t="str">
        <f>VLOOKUP( $A333, Aop!$A$2:$P$453, 2, 0)</f>
        <v>BTG</v>
      </c>
      <c r="C333" s="55">
        <v>29</v>
      </c>
      <c r="D333" s="55" t="str">
        <f t="shared" si="48"/>
        <v>01755633</v>
      </c>
      <c r="E333" s="55" t="str">
        <f t="shared" si="49"/>
        <v>4400228130004</v>
      </c>
      <c r="F333" s="55" t="b">
        <f t="shared" si="51"/>
        <v>0</v>
      </c>
      <c r="G333" s="139">
        <f t="shared" si="52"/>
        <v>44926</v>
      </c>
      <c r="H333" s="105">
        <f>VLOOKUP( $A333, Aop!$A$2:$P$453, 4, 0)</f>
        <v>560</v>
      </c>
      <c r="I333" s="55">
        <f t="shared" si="50"/>
        <v>2022</v>
      </c>
      <c r="J333" s="55" t="str">
        <f t="shared" ca="1" si="54"/>
        <v/>
      </c>
      <c r="K333" s="55"/>
      <c r="L333" s="55"/>
      <c r="M333" s="55">
        <f t="shared" ca="1" si="47"/>
        <v>0</v>
      </c>
      <c r="N333" s="55">
        <f t="shared" ca="1" si="53"/>
        <v>0</v>
      </c>
    </row>
    <row r="334" spans="1:14" x14ac:dyDescent="0.3">
      <c r="A334" s="105">
        <v>344</v>
      </c>
      <c r="B334" s="105" t="str">
        <f>VLOOKUP( $A334, Aop!$A$2:$P$453, 2, 0)</f>
        <v>BTG</v>
      </c>
      <c r="C334" s="55">
        <v>29</v>
      </c>
      <c r="D334" s="55" t="str">
        <f t="shared" si="48"/>
        <v>01755633</v>
      </c>
      <c r="E334" s="55" t="str">
        <f t="shared" si="49"/>
        <v>4400228130004</v>
      </c>
      <c r="F334" s="55" t="b">
        <f t="shared" si="51"/>
        <v>0</v>
      </c>
      <c r="G334" s="139">
        <f t="shared" si="52"/>
        <v>44926</v>
      </c>
      <c r="H334" s="105">
        <f>VLOOKUP( $A334, Aop!$A$2:$P$453, 4, 0)</f>
        <v>561</v>
      </c>
      <c r="I334" s="55">
        <f t="shared" si="50"/>
        <v>2022</v>
      </c>
      <c r="J334" s="55" t="str">
        <f t="shared" ca="1" si="54"/>
        <v/>
      </c>
      <c r="K334" s="55"/>
      <c r="L334" s="55"/>
      <c r="M334" s="55">
        <f t="shared" ca="1" si="47"/>
        <v>4884410</v>
      </c>
      <c r="N334" s="55">
        <f t="shared" ca="1" si="53"/>
        <v>4884410</v>
      </c>
    </row>
    <row r="335" spans="1:14" x14ac:dyDescent="0.3">
      <c r="A335" s="105">
        <v>345</v>
      </c>
      <c r="B335" s="105" t="str">
        <f>VLOOKUP( $A335, Aop!$A$2:$P$453, 2, 0)</f>
        <v>BTG</v>
      </c>
      <c r="C335" s="55">
        <v>29</v>
      </c>
      <c r="D335" s="55" t="str">
        <f t="shared" si="48"/>
        <v>01755633</v>
      </c>
      <c r="E335" s="55" t="str">
        <f t="shared" si="49"/>
        <v>4400228130004</v>
      </c>
      <c r="F335" s="55" t="b">
        <f t="shared" si="51"/>
        <v>0</v>
      </c>
      <c r="G335" s="139">
        <f t="shared" si="52"/>
        <v>44926</v>
      </c>
      <c r="H335" s="105">
        <f>VLOOKUP( $A335, Aop!$A$2:$P$453, 4, 0)</f>
        <v>562</v>
      </c>
      <c r="I335" s="55">
        <f t="shared" si="50"/>
        <v>2022</v>
      </c>
      <c r="J335" s="55" t="str">
        <f t="shared" ca="1" si="54"/>
        <v/>
      </c>
      <c r="K335" s="55"/>
      <c r="L335" s="55"/>
      <c r="M335" s="55">
        <f t="shared" ca="1" si="47"/>
        <v>5005615</v>
      </c>
      <c r="N335" s="55">
        <f t="shared" ca="1" si="53"/>
        <v>5005615</v>
      </c>
    </row>
    <row r="336" spans="1:14" x14ac:dyDescent="0.3">
      <c r="A336" s="105">
        <v>346</v>
      </c>
      <c r="B336" s="105" t="str">
        <f>VLOOKUP( $A336, Aop!$A$2:$P$453, 2, 0)</f>
        <v>BTG</v>
      </c>
      <c r="C336" s="55">
        <v>29</v>
      </c>
      <c r="D336" s="55" t="str">
        <f t="shared" si="48"/>
        <v>01755633</v>
      </c>
      <c r="E336" s="55" t="str">
        <f t="shared" si="49"/>
        <v>4400228130004</v>
      </c>
      <c r="F336" s="55" t="b">
        <f t="shared" si="51"/>
        <v>0</v>
      </c>
      <c r="G336" s="139">
        <f t="shared" si="52"/>
        <v>44926</v>
      </c>
      <c r="H336" s="105">
        <f>VLOOKUP( $A336, Aop!$A$2:$P$453, 4, 0)</f>
        <v>563</v>
      </c>
      <c r="I336" s="55">
        <f t="shared" si="50"/>
        <v>2022</v>
      </c>
      <c r="J336" s="55" t="str">
        <f t="shared" ca="1" si="54"/>
        <v/>
      </c>
      <c r="K336" s="55"/>
      <c r="L336" s="55"/>
      <c r="M336" s="55">
        <f t="shared" ca="1" si="47"/>
        <v>0</v>
      </c>
      <c r="N336" s="55">
        <f t="shared" ca="1" si="53"/>
        <v>0</v>
      </c>
    </row>
    <row r="337" spans="1:14" x14ac:dyDescent="0.3">
      <c r="A337" s="105">
        <v>347</v>
      </c>
      <c r="B337" s="105" t="str">
        <f>VLOOKUP( $A337, Aop!$A$2:$P$453, 2, 0)</f>
        <v>BTG</v>
      </c>
      <c r="C337" s="55">
        <v>29</v>
      </c>
      <c r="D337" s="55" t="str">
        <f t="shared" si="48"/>
        <v>01755633</v>
      </c>
      <c r="E337" s="55" t="str">
        <f t="shared" si="49"/>
        <v>4400228130004</v>
      </c>
      <c r="F337" s="55" t="b">
        <f t="shared" si="51"/>
        <v>0</v>
      </c>
      <c r="G337" s="139">
        <f t="shared" si="52"/>
        <v>44926</v>
      </c>
      <c r="H337" s="105">
        <f>VLOOKUP( $A337, Aop!$A$2:$P$453, 4, 0)</f>
        <v>564</v>
      </c>
      <c r="I337" s="55">
        <f t="shared" si="50"/>
        <v>2022</v>
      </c>
      <c r="J337" s="55" t="str">
        <f t="shared" ca="1" si="54"/>
        <v/>
      </c>
      <c r="K337" s="55"/>
      <c r="L337" s="55"/>
      <c r="M337" s="55">
        <f t="shared" ref="M337:M341" ca="1" si="55">IF( VLOOKUP( $H337, INDIRECT( "Lookup_" &amp; $B337), IF( LEFT( $B337, 2) = "BS", S$2, S$1), 0) = "", "", VLOOKUP( $H337, INDIRECT( "Lookup_" &amp; $B337), IF( LEFT( $B337, 2) = "BS", S$2, S$1), 0))</f>
        <v>121205</v>
      </c>
      <c r="N337" s="55">
        <f t="shared" ca="1" si="53"/>
        <v>121205</v>
      </c>
    </row>
    <row r="338" spans="1:14" x14ac:dyDescent="0.3">
      <c r="A338" s="105">
        <v>348</v>
      </c>
      <c r="B338" s="105" t="str">
        <f>VLOOKUP( $A338, Aop!$A$2:$P$453, 2, 0)</f>
        <v>BTG</v>
      </c>
      <c r="C338" s="55">
        <v>29</v>
      </c>
      <c r="D338" s="55" t="str">
        <f t="shared" si="48"/>
        <v>01755633</v>
      </c>
      <c r="E338" s="55" t="str">
        <f t="shared" si="49"/>
        <v>4400228130004</v>
      </c>
      <c r="F338" s="55" t="b">
        <f t="shared" si="51"/>
        <v>0</v>
      </c>
      <c r="G338" s="139">
        <f t="shared" si="52"/>
        <v>44926</v>
      </c>
      <c r="H338" s="105">
        <f>VLOOKUP( $A338, Aop!$A$2:$P$453, 4, 0)</f>
        <v>565</v>
      </c>
      <c r="I338" s="55">
        <f t="shared" si="50"/>
        <v>2022</v>
      </c>
      <c r="J338" s="55" t="str">
        <f t="shared" ca="1" si="54"/>
        <v/>
      </c>
      <c r="K338" s="55"/>
      <c r="L338" s="55"/>
      <c r="M338" s="55">
        <f t="shared" ca="1" si="55"/>
        <v>645941</v>
      </c>
      <c r="N338" s="55">
        <f t="shared" ca="1" si="53"/>
        <v>645941</v>
      </c>
    </row>
    <row r="339" spans="1:14" x14ac:dyDescent="0.3">
      <c r="A339" s="105">
        <v>349</v>
      </c>
      <c r="B339" s="105" t="str">
        <f>VLOOKUP( $A339, Aop!$A$2:$P$453, 2, 0)</f>
        <v>BTG</v>
      </c>
      <c r="C339" s="55">
        <v>29</v>
      </c>
      <c r="D339" s="55" t="str">
        <f t="shared" si="48"/>
        <v>01755633</v>
      </c>
      <c r="E339" s="55" t="str">
        <f t="shared" si="49"/>
        <v>4400228130004</v>
      </c>
      <c r="F339" s="55" t="b">
        <f t="shared" si="51"/>
        <v>0</v>
      </c>
      <c r="G339" s="139">
        <f t="shared" si="52"/>
        <v>44926</v>
      </c>
      <c r="H339" s="105">
        <f>VLOOKUP( $A339, Aop!$A$2:$P$453, 4, 0)</f>
        <v>566</v>
      </c>
      <c r="I339" s="55">
        <f t="shared" si="50"/>
        <v>2022</v>
      </c>
      <c r="J339" s="55" t="str">
        <f t="shared" ca="1" si="54"/>
        <v/>
      </c>
      <c r="K339" s="55"/>
      <c r="L339" s="55"/>
      <c r="M339" s="55" t="str">
        <f t="shared" ca="1" si="55"/>
        <v/>
      </c>
      <c r="N339" s="55" t="str">
        <f t="shared" ca="1" si="53"/>
        <v/>
      </c>
    </row>
    <row r="340" spans="1:14" x14ac:dyDescent="0.3">
      <c r="A340" s="105">
        <v>350</v>
      </c>
      <c r="B340" s="105" t="str">
        <f>VLOOKUP( $A340, Aop!$A$2:$P$453, 2, 0)</f>
        <v>BTG</v>
      </c>
      <c r="C340" s="55">
        <v>29</v>
      </c>
      <c r="D340" s="55" t="str">
        <f t="shared" si="48"/>
        <v>01755633</v>
      </c>
      <c r="E340" s="55" t="str">
        <f t="shared" si="49"/>
        <v>4400228130004</v>
      </c>
      <c r="F340" s="55" t="b">
        <f t="shared" si="51"/>
        <v>0</v>
      </c>
      <c r="G340" s="139">
        <f t="shared" si="52"/>
        <v>44926</v>
      </c>
      <c r="H340" s="105">
        <f>VLOOKUP( $A340, Aop!$A$2:$P$453, 4, 0)</f>
        <v>567</v>
      </c>
      <c r="I340" s="55">
        <f t="shared" si="50"/>
        <v>2022</v>
      </c>
      <c r="J340" s="55" t="str">
        <f t="shared" ca="1" si="54"/>
        <v/>
      </c>
      <c r="K340" s="55"/>
      <c r="L340" s="55"/>
      <c r="M340" s="55" t="str">
        <f t="shared" ca="1" si="55"/>
        <v/>
      </c>
      <c r="N340" s="55" t="str">
        <f t="shared" ca="1" si="53"/>
        <v/>
      </c>
    </row>
    <row r="341" spans="1:14" x14ac:dyDescent="0.3">
      <c r="A341" s="105">
        <v>351</v>
      </c>
      <c r="B341" s="105" t="str">
        <f>VLOOKUP( $A341, Aop!$A$2:$P$453, 2, 0)</f>
        <v>BTG</v>
      </c>
      <c r="C341" s="55">
        <v>29</v>
      </c>
      <c r="D341" s="55" t="str">
        <f t="shared" si="48"/>
        <v>01755633</v>
      </c>
      <c r="E341" s="55" t="str">
        <f t="shared" si="49"/>
        <v>4400228130004</v>
      </c>
      <c r="F341" s="55" t="b">
        <f t="shared" si="51"/>
        <v>0</v>
      </c>
      <c r="G341" s="139">
        <f t="shared" si="52"/>
        <v>44926</v>
      </c>
      <c r="H341" s="105">
        <f>VLOOKUP( $A341, Aop!$A$2:$P$453, 4, 0)</f>
        <v>568</v>
      </c>
      <c r="I341" s="55">
        <f t="shared" si="50"/>
        <v>2022</v>
      </c>
      <c r="J341" s="55" t="str">
        <f t="shared" ca="1" si="54"/>
        <v/>
      </c>
      <c r="K341" s="55"/>
      <c r="L341" s="55"/>
      <c r="M341" s="55">
        <f t="shared" ca="1" si="55"/>
        <v>524736</v>
      </c>
      <c r="N341" s="55">
        <f t="shared" ca="1" si="53"/>
        <v>524736</v>
      </c>
    </row>
    <row r="342" spans="1:14" x14ac:dyDescent="0.3">
      <c r="A342" s="105">
        <v>352</v>
      </c>
      <c r="B342" s="55" t="str">
        <f>VLOOKUP( $A342, Aop!$A$2:$P$453, 2, 0)</f>
        <v>Aneks</v>
      </c>
      <c r="C342" s="55">
        <v>28</v>
      </c>
      <c r="D342" s="55" t="str">
        <f>Podatak_MB</f>
        <v>01755633</v>
      </c>
      <c r="E342" s="55" t="str">
        <f>Podatak_JIB</f>
        <v>4400228130004</v>
      </c>
      <c r="F342" s="55" t="b">
        <f>Konsolidovan_izvjestaj</f>
        <v>0</v>
      </c>
      <c r="G342" s="139">
        <f>Datum_Broj</f>
        <v>44926</v>
      </c>
      <c r="H342" s="55">
        <f>VLOOKUP( $A342, Aop!$A$2:$P$453, 4, 0)</f>
        <v>601</v>
      </c>
      <c r="I342" s="55">
        <f>Godina</f>
        <v>2022</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3">
      <c r="A343" s="105">
        <v>353</v>
      </c>
      <c r="B343" s="105" t="str">
        <f>VLOOKUP( $A343, Aop!$A$2:$P$453, 2, 0)</f>
        <v>Aneks</v>
      </c>
      <c r="C343" s="55">
        <v>28</v>
      </c>
      <c r="D343" s="55" t="str">
        <f t="shared" si="48"/>
        <v>01755633</v>
      </c>
      <c r="E343" s="55" t="str">
        <f t="shared" si="49"/>
        <v>4400228130004</v>
      </c>
      <c r="F343" s="55" t="b">
        <f t="shared" si="51"/>
        <v>0</v>
      </c>
      <c r="G343" s="139">
        <f t="shared" si="52"/>
        <v>44926</v>
      </c>
      <c r="H343" s="105">
        <f>VLOOKUP( $A343, Aop!$A$2:$P$453, 4, 0)</f>
        <v>602</v>
      </c>
      <c r="I343" s="55">
        <f t="shared" si="50"/>
        <v>2022</v>
      </c>
      <c r="J343" s="55"/>
      <c r="K343" s="55"/>
      <c r="L343" s="55"/>
      <c r="M343" s="55">
        <f t="shared" ca="1" si="56"/>
        <v>3303159</v>
      </c>
      <c r="N343" s="55">
        <f t="shared" ca="1" si="53"/>
        <v>4433675</v>
      </c>
    </row>
    <row r="344" spans="1:14" x14ac:dyDescent="0.3">
      <c r="A344" s="105">
        <v>354</v>
      </c>
      <c r="B344" s="105" t="str">
        <f>VLOOKUP( $A344, Aop!$A$2:$P$453, 2, 0)</f>
        <v>Aneks</v>
      </c>
      <c r="C344" s="55">
        <v>28</v>
      </c>
      <c r="D344" s="55" t="str">
        <f t="shared" si="48"/>
        <v>01755633</v>
      </c>
      <c r="E344" s="55" t="str">
        <f t="shared" si="49"/>
        <v>4400228130004</v>
      </c>
      <c r="F344" s="55" t="b">
        <f t="shared" si="51"/>
        <v>0</v>
      </c>
      <c r="G344" s="139">
        <f t="shared" si="52"/>
        <v>44926</v>
      </c>
      <c r="H344" s="105">
        <f>VLOOKUP( $A344, Aop!$A$2:$P$453, 4, 0)</f>
        <v>603</v>
      </c>
      <c r="I344" s="55">
        <f t="shared" si="50"/>
        <v>2022</v>
      </c>
      <c r="J344" s="55"/>
      <c r="K344" s="55"/>
      <c r="L344" s="55"/>
      <c r="M344" s="55">
        <f t="shared" ref="M344:M407" ca="1" si="57">IF( VLOOKUP( $H344, INDIRECT( "Lookup_" &amp; $B344), IF( LEFT( $B344, 2) = "BS", R$2, R$1), 0) = "", "", VLOOKUP( $H344, INDIRECT( "Lookup_" &amp; $B344), IF( LEFT( $B344, 2) = "BS", R$2, R$1), 0))</f>
        <v>269217</v>
      </c>
      <c r="N344" s="55">
        <f t="shared" ca="1" si="53"/>
        <v>295701</v>
      </c>
    </row>
    <row r="345" spans="1:14" x14ac:dyDescent="0.3">
      <c r="A345" s="105">
        <v>355</v>
      </c>
      <c r="B345" s="105" t="str">
        <f>VLOOKUP( $A345, Aop!$A$2:$P$453, 2, 0)</f>
        <v>Aneks</v>
      </c>
      <c r="C345" s="55">
        <v>28</v>
      </c>
      <c r="D345" s="55" t="str">
        <f t="shared" si="48"/>
        <v>01755633</v>
      </c>
      <c r="E345" s="55" t="str">
        <f t="shared" si="49"/>
        <v>4400228130004</v>
      </c>
      <c r="F345" s="55" t="b">
        <f t="shared" si="51"/>
        <v>0</v>
      </c>
      <c r="G345" s="139">
        <f t="shared" si="52"/>
        <v>44926</v>
      </c>
      <c r="H345" s="105">
        <f>VLOOKUP( $A345, Aop!$A$2:$P$453, 4, 0)</f>
        <v>604</v>
      </c>
      <c r="I345" s="55">
        <f t="shared" si="50"/>
        <v>2022</v>
      </c>
      <c r="J345" s="55"/>
      <c r="K345" s="55"/>
      <c r="L345" s="55"/>
      <c r="M345" s="55" t="str">
        <f t="shared" ca="1" si="57"/>
        <v/>
      </c>
      <c r="N345" s="55">
        <f t="shared" ca="1" si="53"/>
        <v>552</v>
      </c>
    </row>
    <row r="346" spans="1:14" x14ac:dyDescent="0.3">
      <c r="A346" s="105">
        <v>356</v>
      </c>
      <c r="B346" s="105" t="str">
        <f>VLOOKUP( $A346, Aop!$A$2:$P$453, 2, 0)</f>
        <v>Aneks</v>
      </c>
      <c r="C346" s="55">
        <v>28</v>
      </c>
      <c r="D346" s="55" t="str">
        <f t="shared" si="48"/>
        <v>01755633</v>
      </c>
      <c r="E346" s="55" t="str">
        <f t="shared" si="49"/>
        <v>4400228130004</v>
      </c>
      <c r="F346" s="55" t="b">
        <f t="shared" si="51"/>
        <v>0</v>
      </c>
      <c r="G346" s="139">
        <f t="shared" si="52"/>
        <v>44926</v>
      </c>
      <c r="H346" s="105">
        <f>VLOOKUP( $A346, Aop!$A$2:$P$453, 4, 0)</f>
        <v>605</v>
      </c>
      <c r="I346" s="55">
        <f t="shared" si="50"/>
        <v>2022</v>
      </c>
      <c r="J346" s="55"/>
      <c r="K346" s="55"/>
      <c r="L346" s="55"/>
      <c r="M346" s="55">
        <f t="shared" ca="1" si="57"/>
        <v>2249767</v>
      </c>
      <c r="N346" s="55">
        <f t="shared" ca="1" si="53"/>
        <v>2540646</v>
      </c>
    </row>
    <row r="347" spans="1:14" x14ac:dyDescent="0.3">
      <c r="A347" s="105">
        <v>357</v>
      </c>
      <c r="B347" s="105" t="str">
        <f>VLOOKUP( $A347, Aop!$A$2:$P$453, 2, 0)</f>
        <v>Aneks</v>
      </c>
      <c r="C347" s="55">
        <v>28</v>
      </c>
      <c r="D347" s="55" t="str">
        <f t="shared" si="48"/>
        <v>01755633</v>
      </c>
      <c r="E347" s="55" t="str">
        <f t="shared" si="49"/>
        <v>4400228130004</v>
      </c>
      <c r="F347" s="55" t="b">
        <f t="shared" si="51"/>
        <v>0</v>
      </c>
      <c r="G347" s="139">
        <f t="shared" si="52"/>
        <v>44926</v>
      </c>
      <c r="H347" s="105">
        <f>VLOOKUP( $A347, Aop!$A$2:$P$453, 4, 0)</f>
        <v>606</v>
      </c>
      <c r="I347" s="55">
        <f t="shared" si="50"/>
        <v>2022</v>
      </c>
      <c r="J347" s="55"/>
      <c r="K347" s="55"/>
      <c r="L347" s="55"/>
      <c r="M347" s="55">
        <f t="shared" ca="1" si="57"/>
        <v>199775</v>
      </c>
      <c r="N347" s="55">
        <f t="shared" ca="1" si="53"/>
        <v>199511</v>
      </c>
    </row>
    <row r="348" spans="1:14" x14ac:dyDescent="0.3">
      <c r="A348" s="105">
        <v>358</v>
      </c>
      <c r="B348" s="105" t="str">
        <f>VLOOKUP( $A348, Aop!$A$2:$P$453, 2, 0)</f>
        <v>Aneks</v>
      </c>
      <c r="C348" s="55">
        <v>28</v>
      </c>
      <c r="D348" s="55" t="str">
        <f t="shared" si="48"/>
        <v>01755633</v>
      </c>
      <c r="E348" s="55" t="str">
        <f t="shared" si="49"/>
        <v>4400228130004</v>
      </c>
      <c r="F348" s="55" t="b">
        <f t="shared" si="51"/>
        <v>0</v>
      </c>
      <c r="G348" s="139">
        <f t="shared" si="52"/>
        <v>44926</v>
      </c>
      <c r="H348" s="105">
        <f>VLOOKUP( $A348, Aop!$A$2:$P$453, 4, 0)</f>
        <v>607</v>
      </c>
      <c r="I348" s="55">
        <f t="shared" si="50"/>
        <v>2022</v>
      </c>
      <c r="J348" s="55"/>
      <c r="K348" s="55"/>
      <c r="L348" s="55"/>
      <c r="M348" s="55" t="str">
        <f t="shared" ca="1" si="57"/>
        <v/>
      </c>
      <c r="N348" s="55">
        <f t="shared" ca="1" si="53"/>
        <v>1876</v>
      </c>
    </row>
    <row r="349" spans="1:14" x14ac:dyDescent="0.3">
      <c r="A349" s="105">
        <v>359</v>
      </c>
      <c r="B349" s="105" t="str">
        <f>VLOOKUP( $A349, Aop!$A$2:$P$453, 2, 0)</f>
        <v>Aneks</v>
      </c>
      <c r="C349" s="55">
        <v>28</v>
      </c>
      <c r="D349" s="55" t="str">
        <f t="shared" si="48"/>
        <v>01755633</v>
      </c>
      <c r="E349" s="55" t="str">
        <f t="shared" si="49"/>
        <v>4400228130004</v>
      </c>
      <c r="F349" s="55" t="b">
        <f t="shared" si="51"/>
        <v>0</v>
      </c>
      <c r="G349" s="139">
        <f t="shared" si="52"/>
        <v>44926</v>
      </c>
      <c r="H349" s="105">
        <f>VLOOKUP( $A349, Aop!$A$2:$P$453, 4, 0)</f>
        <v>608</v>
      </c>
      <c r="I349" s="55">
        <f t="shared" si="50"/>
        <v>2022</v>
      </c>
      <c r="J349" s="55"/>
      <c r="K349" s="55"/>
      <c r="L349" s="55"/>
      <c r="M349" s="55">
        <f t="shared" ca="1" si="57"/>
        <v>2039144</v>
      </c>
      <c r="N349" s="55">
        <f t="shared" ca="1" si="53"/>
        <v>3177582</v>
      </c>
    </row>
    <row r="350" spans="1:14" x14ac:dyDescent="0.3">
      <c r="A350" s="105">
        <v>360</v>
      </c>
      <c r="B350" s="105" t="str">
        <f>VLOOKUP( $A350, Aop!$A$2:$P$453, 2, 0)</f>
        <v>Aneks</v>
      </c>
      <c r="C350" s="55">
        <v>28</v>
      </c>
      <c r="D350" s="55" t="str">
        <f t="shared" si="48"/>
        <v>01755633</v>
      </c>
      <c r="E350" s="55" t="str">
        <f t="shared" si="49"/>
        <v>4400228130004</v>
      </c>
      <c r="F350" s="55" t="b">
        <f t="shared" si="51"/>
        <v>0</v>
      </c>
      <c r="G350" s="139">
        <f t="shared" si="52"/>
        <v>44926</v>
      </c>
      <c r="H350" s="105">
        <f>VLOOKUP( $A350, Aop!$A$2:$P$453, 4, 0)</f>
        <v>609</v>
      </c>
      <c r="I350" s="55">
        <f t="shared" si="50"/>
        <v>2022</v>
      </c>
      <c r="J350" s="55"/>
      <c r="K350" s="55"/>
      <c r="L350" s="55"/>
      <c r="M350" s="55">
        <f t="shared" ca="1" si="57"/>
        <v>167210</v>
      </c>
      <c r="N350" s="55">
        <f t="shared" ca="1" si="53"/>
        <v>171967</v>
      </c>
    </row>
    <row r="351" spans="1:14" x14ac:dyDescent="0.3">
      <c r="A351" s="105">
        <v>361</v>
      </c>
      <c r="B351" s="105" t="str">
        <f>VLOOKUP( $A351, Aop!$A$2:$P$453, 2, 0)</f>
        <v>Aneks</v>
      </c>
      <c r="C351" s="55">
        <v>28</v>
      </c>
      <c r="D351" s="55" t="str">
        <f t="shared" si="48"/>
        <v>01755633</v>
      </c>
      <c r="E351" s="55" t="str">
        <f t="shared" si="49"/>
        <v>4400228130004</v>
      </c>
      <c r="F351" s="55" t="b">
        <f t="shared" si="51"/>
        <v>0</v>
      </c>
      <c r="G351" s="139">
        <f t="shared" si="52"/>
        <v>44926</v>
      </c>
      <c r="H351" s="105">
        <f>VLOOKUP( $A351, Aop!$A$2:$P$453, 4, 0)</f>
        <v>610</v>
      </c>
      <c r="I351" s="55">
        <f t="shared" si="50"/>
        <v>2022</v>
      </c>
      <c r="J351" s="55"/>
      <c r="K351" s="55"/>
      <c r="L351" s="55"/>
      <c r="M351" s="55">
        <f t="shared" ca="1" si="57"/>
        <v>0</v>
      </c>
      <c r="N351" s="55">
        <f t="shared" ca="1" si="53"/>
        <v>472</v>
      </c>
    </row>
    <row r="352" spans="1:14" x14ac:dyDescent="0.3">
      <c r="A352" s="105">
        <v>362</v>
      </c>
      <c r="B352" s="105" t="str">
        <f>VLOOKUP( $A352, Aop!$A$2:$P$453, 2, 0)</f>
        <v>Aneks</v>
      </c>
      <c r="C352" s="55">
        <v>28</v>
      </c>
      <c r="D352" s="55" t="str">
        <f t="shared" si="48"/>
        <v>01755633</v>
      </c>
      <c r="E352" s="55" t="str">
        <f t="shared" si="49"/>
        <v>4400228130004</v>
      </c>
      <c r="F352" s="55" t="b">
        <f t="shared" si="51"/>
        <v>0</v>
      </c>
      <c r="G352" s="139">
        <f t="shared" si="52"/>
        <v>44926</v>
      </c>
      <c r="H352" s="105">
        <f>VLOOKUP( $A352, Aop!$A$2:$P$453, 4, 0)</f>
        <v>611</v>
      </c>
      <c r="I352" s="55">
        <f t="shared" si="50"/>
        <v>2022</v>
      </c>
      <c r="J352" s="55"/>
      <c r="K352" s="55"/>
      <c r="L352" s="55"/>
      <c r="M352" s="55">
        <f t="shared" ca="1" si="57"/>
        <v>781736</v>
      </c>
      <c r="N352" s="55">
        <f t="shared" ca="1" si="53"/>
        <v>608317</v>
      </c>
    </row>
    <row r="353" spans="1:14" x14ac:dyDescent="0.3">
      <c r="A353" s="105">
        <v>363</v>
      </c>
      <c r="B353" s="105" t="str">
        <f>VLOOKUP( $A353, Aop!$A$2:$P$453, 2, 0)</f>
        <v>Aneks</v>
      </c>
      <c r="C353" s="55">
        <v>28</v>
      </c>
      <c r="D353" s="55" t="str">
        <f t="shared" si="48"/>
        <v>01755633</v>
      </c>
      <c r="E353" s="55" t="str">
        <f t="shared" si="49"/>
        <v>4400228130004</v>
      </c>
      <c r="F353" s="55" t="b">
        <f t="shared" si="51"/>
        <v>0</v>
      </c>
      <c r="G353" s="139">
        <f t="shared" si="52"/>
        <v>44926</v>
      </c>
      <c r="H353" s="105">
        <f>VLOOKUP( $A353, Aop!$A$2:$P$453, 4, 0)</f>
        <v>612</v>
      </c>
      <c r="I353" s="55">
        <f t="shared" si="50"/>
        <v>2022</v>
      </c>
      <c r="J353" s="55"/>
      <c r="K353" s="55"/>
      <c r="L353" s="55"/>
      <c r="M353" s="55">
        <f t="shared" ca="1" si="57"/>
        <v>55972</v>
      </c>
      <c r="N353" s="55">
        <f t="shared" ca="1" si="53"/>
        <v>62366</v>
      </c>
    </row>
    <row r="354" spans="1:14" x14ac:dyDescent="0.3">
      <c r="A354" s="105">
        <v>364</v>
      </c>
      <c r="B354" s="105" t="str">
        <f>VLOOKUP( $A354, Aop!$A$2:$P$453, 2, 0)</f>
        <v>Aneks</v>
      </c>
      <c r="C354" s="55">
        <v>28</v>
      </c>
      <c r="D354" s="55" t="str">
        <f t="shared" si="48"/>
        <v>01755633</v>
      </c>
      <c r="E354" s="55" t="str">
        <f t="shared" si="49"/>
        <v>4400228130004</v>
      </c>
      <c r="F354" s="55" t="b">
        <f t="shared" si="51"/>
        <v>0</v>
      </c>
      <c r="G354" s="139">
        <f t="shared" si="52"/>
        <v>44926</v>
      </c>
      <c r="H354" s="105">
        <f>VLOOKUP( $A354, Aop!$A$2:$P$453, 4, 0)</f>
        <v>613</v>
      </c>
      <c r="I354" s="55">
        <f t="shared" si="50"/>
        <v>2022</v>
      </c>
      <c r="J354" s="55"/>
      <c r="K354" s="55"/>
      <c r="L354" s="55"/>
      <c r="M354" s="55" t="str">
        <f t="shared" ca="1" si="57"/>
        <v/>
      </c>
      <c r="N354" s="55" t="str">
        <f t="shared" ca="1" si="53"/>
        <v/>
      </c>
    </row>
    <row r="355" spans="1:14" x14ac:dyDescent="0.3">
      <c r="A355" s="105">
        <v>365</v>
      </c>
      <c r="B355" s="105" t="str">
        <f>VLOOKUP( $A355, Aop!$A$2:$P$453, 2, 0)</f>
        <v>Aneks</v>
      </c>
      <c r="C355" s="55">
        <v>28</v>
      </c>
      <c r="D355" s="55" t="str">
        <f t="shared" si="48"/>
        <v>01755633</v>
      </c>
      <c r="E355" s="55" t="str">
        <f t="shared" si="49"/>
        <v>4400228130004</v>
      </c>
      <c r="F355" s="55" t="b">
        <f t="shared" si="51"/>
        <v>0</v>
      </c>
      <c r="G355" s="139">
        <f t="shared" si="52"/>
        <v>44926</v>
      </c>
      <c r="H355" s="105">
        <f>VLOOKUP( $A355, Aop!$A$2:$P$453, 4, 0)</f>
        <v>614</v>
      </c>
      <c r="I355" s="55">
        <f t="shared" si="50"/>
        <v>2022</v>
      </c>
      <c r="J355" s="55"/>
      <c r="K355" s="55"/>
      <c r="L355" s="55"/>
      <c r="M355" s="55">
        <f t="shared" ca="1" si="57"/>
        <v>561</v>
      </c>
      <c r="N355" s="55">
        <f t="shared" ca="1" si="53"/>
        <v>659</v>
      </c>
    </row>
    <row r="356" spans="1:14" x14ac:dyDescent="0.3">
      <c r="A356" s="105">
        <v>366</v>
      </c>
      <c r="B356" s="105" t="str">
        <f>VLOOKUP( $A356, Aop!$A$2:$P$453, 2, 0)</f>
        <v>Aneks</v>
      </c>
      <c r="C356" s="55">
        <v>28</v>
      </c>
      <c r="D356" s="55" t="str">
        <f t="shared" si="48"/>
        <v>01755633</v>
      </c>
      <c r="E356" s="55" t="str">
        <f t="shared" si="49"/>
        <v>4400228130004</v>
      </c>
      <c r="F356" s="55" t="b">
        <f t="shared" si="51"/>
        <v>0</v>
      </c>
      <c r="G356" s="139">
        <f t="shared" si="52"/>
        <v>44926</v>
      </c>
      <c r="H356" s="105">
        <f>VLOOKUP( $A356, Aop!$A$2:$P$453, 4, 0)</f>
        <v>615</v>
      </c>
      <c r="I356" s="55">
        <f t="shared" si="50"/>
        <v>2022</v>
      </c>
      <c r="J356" s="55"/>
      <c r="K356" s="55"/>
      <c r="L356" s="55"/>
      <c r="M356" s="55" t="str">
        <f t="shared" ca="1" si="57"/>
        <v/>
      </c>
      <c r="N356" s="55" t="str">
        <f t="shared" ca="1" si="53"/>
        <v/>
      </c>
    </row>
    <row r="357" spans="1:14" x14ac:dyDescent="0.3">
      <c r="A357" s="105">
        <v>367</v>
      </c>
      <c r="B357" s="105" t="str">
        <f>VLOOKUP( $A357, Aop!$A$2:$P$453, 2, 0)</f>
        <v>Aneks</v>
      </c>
      <c r="C357" s="55">
        <v>28</v>
      </c>
      <c r="D357" s="55" t="str">
        <f t="shared" ref="D357:D364" si="58">Podatak_MB</f>
        <v>01755633</v>
      </c>
      <c r="E357" s="55" t="str">
        <f t="shared" ref="E357:E364" si="59">Podatak_JIB</f>
        <v>4400228130004</v>
      </c>
      <c r="F357" s="55" t="b">
        <f t="shared" ref="F357:F364" si="60">Konsolidovan_izvjestaj</f>
        <v>0</v>
      </c>
      <c r="G357" s="139">
        <f t="shared" ref="G357:G364" si="61">Datum_Broj</f>
        <v>44926</v>
      </c>
      <c r="H357" s="55">
        <f>VLOOKUP( $A357, Aop!$A$2:$P$453, 4, 0)</f>
        <v>616</v>
      </c>
      <c r="I357" s="55">
        <f t="shared" ref="I357:I364" si="62">Godina</f>
        <v>2022</v>
      </c>
      <c r="J357" s="55"/>
      <c r="K357" s="55"/>
      <c r="L357" s="55"/>
      <c r="M357" s="55" t="str">
        <f t="shared" ca="1" si="57"/>
        <v/>
      </c>
      <c r="N357" s="55" t="str">
        <f t="shared" ca="1" si="53"/>
        <v/>
      </c>
    </row>
    <row r="358" spans="1:14" x14ac:dyDescent="0.3">
      <c r="A358" s="105">
        <v>368</v>
      </c>
      <c r="B358" s="105" t="str">
        <f>VLOOKUP( $A358, Aop!$A$2:$P$453, 2, 0)</f>
        <v>Aneks</v>
      </c>
      <c r="C358" s="55">
        <v>28</v>
      </c>
      <c r="D358" s="55" t="str">
        <f t="shared" si="58"/>
        <v>01755633</v>
      </c>
      <c r="E358" s="55" t="str">
        <f t="shared" si="59"/>
        <v>4400228130004</v>
      </c>
      <c r="F358" s="55" t="b">
        <f t="shared" si="60"/>
        <v>0</v>
      </c>
      <c r="G358" s="139">
        <f t="shared" si="61"/>
        <v>44926</v>
      </c>
      <c r="H358" s="55">
        <f>VLOOKUP( $A358, Aop!$A$2:$P$453, 4, 0)</f>
        <v>617</v>
      </c>
      <c r="I358" s="55">
        <f t="shared" si="62"/>
        <v>2022</v>
      </c>
      <c r="J358" s="55"/>
      <c r="K358" s="55"/>
      <c r="L358" s="55"/>
      <c r="M358" s="55">
        <f t="shared" ca="1" si="57"/>
        <v>39491</v>
      </c>
      <c r="N358" s="55">
        <f t="shared" ca="1" si="53"/>
        <v>8400</v>
      </c>
    </row>
    <row r="359" spans="1:14" x14ac:dyDescent="0.3">
      <c r="A359" s="105">
        <v>369</v>
      </c>
      <c r="B359" s="105" t="str">
        <f>VLOOKUP( $A359, Aop!$A$2:$P$453, 2, 0)</f>
        <v>Aneks</v>
      </c>
      <c r="C359" s="55">
        <v>28</v>
      </c>
      <c r="D359" s="55" t="str">
        <f t="shared" si="58"/>
        <v>01755633</v>
      </c>
      <c r="E359" s="55" t="str">
        <f t="shared" si="59"/>
        <v>4400228130004</v>
      </c>
      <c r="F359" s="55" t="b">
        <f t="shared" si="60"/>
        <v>0</v>
      </c>
      <c r="G359" s="139">
        <f t="shared" si="61"/>
        <v>44926</v>
      </c>
      <c r="H359" s="55">
        <f>VLOOKUP( $A359, Aop!$A$2:$P$453, 4, 0)</f>
        <v>618</v>
      </c>
      <c r="I359" s="55">
        <f t="shared" si="62"/>
        <v>2022</v>
      </c>
      <c r="J359" s="55"/>
      <c r="K359" s="55"/>
      <c r="L359" s="55"/>
      <c r="M359" s="55">
        <f t="shared" ca="1" si="57"/>
        <v>31000</v>
      </c>
      <c r="N359" s="55" t="str">
        <f t="shared" ca="1" si="53"/>
        <v/>
      </c>
    </row>
    <row r="360" spans="1:14" x14ac:dyDescent="0.3">
      <c r="A360" s="105">
        <v>370</v>
      </c>
      <c r="B360" s="105" t="str">
        <f>VLOOKUP( $A360, Aop!$A$2:$P$453, 2, 0)</f>
        <v>Aneks</v>
      </c>
      <c r="C360" s="55">
        <v>28</v>
      </c>
      <c r="D360" s="55" t="str">
        <f t="shared" si="58"/>
        <v>01755633</v>
      </c>
      <c r="E360" s="55" t="str">
        <f t="shared" si="59"/>
        <v>4400228130004</v>
      </c>
      <c r="F360" s="55" t="b">
        <f t="shared" si="60"/>
        <v>0</v>
      </c>
      <c r="G360" s="139">
        <f t="shared" si="61"/>
        <v>44926</v>
      </c>
      <c r="H360" s="55">
        <f>VLOOKUP( $A360, Aop!$A$2:$P$453, 4, 0)</f>
        <v>619</v>
      </c>
      <c r="I360" s="55">
        <f t="shared" si="62"/>
        <v>2022</v>
      </c>
      <c r="J360" s="55"/>
      <c r="K360" s="55"/>
      <c r="L360" s="55"/>
      <c r="M360" s="55" t="str">
        <f t="shared" ca="1" si="57"/>
        <v/>
      </c>
      <c r="N360" s="55" t="str">
        <f t="shared" ca="1" si="53"/>
        <v/>
      </c>
    </row>
    <row r="361" spans="1:14" x14ac:dyDescent="0.3">
      <c r="A361" s="105">
        <v>371</v>
      </c>
      <c r="B361" s="105" t="str">
        <f>VLOOKUP( $A361, Aop!$A$2:$P$453, 2, 0)</f>
        <v>Aneks</v>
      </c>
      <c r="C361" s="55">
        <v>28</v>
      </c>
      <c r="D361" s="55" t="str">
        <f t="shared" si="58"/>
        <v>01755633</v>
      </c>
      <c r="E361" s="55" t="str">
        <f t="shared" si="59"/>
        <v>4400228130004</v>
      </c>
      <c r="F361" s="55" t="b">
        <f t="shared" si="60"/>
        <v>0</v>
      </c>
      <c r="G361" s="139">
        <f t="shared" si="61"/>
        <v>44926</v>
      </c>
      <c r="H361" s="55">
        <f>VLOOKUP( $A361, Aop!$A$2:$P$453, 4, 0)</f>
        <v>620</v>
      </c>
      <c r="I361" s="55">
        <f t="shared" si="62"/>
        <v>2022</v>
      </c>
      <c r="J361" s="55"/>
      <c r="K361" s="55"/>
      <c r="L361" s="55"/>
      <c r="M361" s="55">
        <f t="shared" ca="1" si="57"/>
        <v>31000</v>
      </c>
      <c r="N361" s="55" t="str">
        <f t="shared" ca="1" si="53"/>
        <v/>
      </c>
    </row>
    <row r="362" spans="1:14" x14ac:dyDescent="0.3">
      <c r="A362" s="105">
        <v>372</v>
      </c>
      <c r="B362" s="105" t="str">
        <f>VLOOKUP( $A362, Aop!$A$2:$P$453, 2, 0)</f>
        <v>Aneks</v>
      </c>
      <c r="C362" s="55">
        <v>28</v>
      </c>
      <c r="D362" s="55" t="str">
        <f t="shared" si="58"/>
        <v>01755633</v>
      </c>
      <c r="E362" s="55" t="str">
        <f t="shared" si="59"/>
        <v>4400228130004</v>
      </c>
      <c r="F362" s="55" t="b">
        <f t="shared" si="60"/>
        <v>0</v>
      </c>
      <c r="G362" s="139">
        <f t="shared" si="61"/>
        <v>44926</v>
      </c>
      <c r="H362" s="55">
        <f>VLOOKUP( $A362, Aop!$A$2:$P$453, 4, 0)</f>
        <v>621</v>
      </c>
      <c r="I362" s="55">
        <f t="shared" si="62"/>
        <v>2022</v>
      </c>
      <c r="J362" s="55"/>
      <c r="K362" s="55"/>
      <c r="L362" s="55"/>
      <c r="M362" s="55">
        <f t="shared" ca="1" si="57"/>
        <v>8491</v>
      </c>
      <c r="N362" s="55">
        <f t="shared" ca="1" si="53"/>
        <v>8400</v>
      </c>
    </row>
    <row r="363" spans="1:14" x14ac:dyDescent="0.3">
      <c r="A363" s="105">
        <v>373</v>
      </c>
      <c r="B363" s="105" t="str">
        <f>VLOOKUP( $A363, Aop!$A$2:$P$453, 2, 0)</f>
        <v>Aneks</v>
      </c>
      <c r="C363" s="55">
        <v>28</v>
      </c>
      <c r="D363" s="55" t="str">
        <f t="shared" si="58"/>
        <v>01755633</v>
      </c>
      <c r="E363" s="55" t="str">
        <f t="shared" si="59"/>
        <v>4400228130004</v>
      </c>
      <c r="F363" s="55" t="b">
        <f t="shared" si="60"/>
        <v>0</v>
      </c>
      <c r="G363" s="139">
        <f t="shared" si="61"/>
        <v>44926</v>
      </c>
      <c r="H363" s="55">
        <f>VLOOKUP( $A363, Aop!$A$2:$P$453, 4, 0)</f>
        <v>622</v>
      </c>
      <c r="I363" s="55">
        <f t="shared" si="62"/>
        <v>2022</v>
      </c>
      <c r="J363" s="55"/>
      <c r="K363" s="55"/>
      <c r="L363" s="55"/>
      <c r="M363" s="55" t="str">
        <f t="shared" ca="1" si="57"/>
        <v/>
      </c>
      <c r="N363" s="55" t="str">
        <f t="shared" ca="1" si="53"/>
        <v/>
      </c>
    </row>
    <row r="364" spans="1:14" x14ac:dyDescent="0.3">
      <c r="A364" s="105">
        <v>374</v>
      </c>
      <c r="B364" s="105" t="str">
        <f>VLOOKUP( $A364, Aop!$A$2:$P$453, 2, 0)</f>
        <v>Aneks</v>
      </c>
      <c r="C364" s="55">
        <v>28</v>
      </c>
      <c r="D364" s="55" t="str">
        <f t="shared" si="58"/>
        <v>01755633</v>
      </c>
      <c r="E364" s="55" t="str">
        <f t="shared" si="59"/>
        <v>4400228130004</v>
      </c>
      <c r="F364" s="55" t="b">
        <f t="shared" si="60"/>
        <v>0</v>
      </c>
      <c r="G364" s="139">
        <f t="shared" si="61"/>
        <v>44926</v>
      </c>
      <c r="H364" s="55">
        <f>VLOOKUP( $A364, Aop!$A$2:$P$453, 4, 0)</f>
        <v>623</v>
      </c>
      <c r="I364" s="55">
        <f t="shared" si="62"/>
        <v>2022</v>
      </c>
      <c r="J364" s="55"/>
      <c r="K364" s="55"/>
      <c r="L364" s="55"/>
      <c r="M364" s="55" t="str">
        <f t="shared" ca="1" si="57"/>
        <v/>
      </c>
      <c r="N364" s="55" t="str">
        <f t="shared" ca="1" si="53"/>
        <v/>
      </c>
    </row>
    <row r="365" spans="1:14" x14ac:dyDescent="0.3">
      <c r="A365" s="105">
        <v>375</v>
      </c>
      <c r="B365" s="52" t="str">
        <f>VLOOKUP( $A365, Aop!$A$2:$P$453, 2, 0)</f>
        <v>Aneks</v>
      </c>
      <c r="C365" s="55">
        <v>28</v>
      </c>
      <c r="D365" s="52" t="str">
        <f t="shared" ref="D365:D381" si="63">Podatak_MB</f>
        <v>01755633</v>
      </c>
      <c r="E365" s="52" t="str">
        <f t="shared" ref="E365:E381" si="64">Podatak_JIB</f>
        <v>4400228130004</v>
      </c>
      <c r="F365" s="52" t="b">
        <f t="shared" ref="F365:F381" si="65">Konsolidovan_izvjestaj</f>
        <v>0</v>
      </c>
      <c r="G365" s="224">
        <f t="shared" ref="G365:G408" si="66">Datum_Broj</f>
        <v>44926</v>
      </c>
      <c r="H365" s="52">
        <f>VLOOKUP( $A365, Aop!$A$2:$P$453, 4, 0)</f>
        <v>624</v>
      </c>
      <c r="I365" s="52">
        <f t="shared" ref="I365:I381" si="67">Godina</f>
        <v>2022</v>
      </c>
      <c r="J365" s="55"/>
      <c r="K365" s="52"/>
      <c r="L365" s="52"/>
      <c r="M365" s="55" t="str">
        <f t="shared" ca="1" si="57"/>
        <v/>
      </c>
      <c r="N365" s="55" t="str">
        <f t="shared" ca="1" si="53"/>
        <v/>
      </c>
    </row>
    <row r="366" spans="1:14" x14ac:dyDescent="0.3">
      <c r="A366" s="105">
        <v>376</v>
      </c>
      <c r="B366" s="52" t="str">
        <f>VLOOKUP( $A366, Aop!$A$2:$P$453, 2, 0)</f>
        <v>Aneks</v>
      </c>
      <c r="C366" s="55">
        <v>28</v>
      </c>
      <c r="D366" s="52" t="str">
        <f t="shared" si="63"/>
        <v>01755633</v>
      </c>
      <c r="E366" s="52" t="str">
        <f t="shared" si="64"/>
        <v>4400228130004</v>
      </c>
      <c r="F366" s="52" t="b">
        <f t="shared" si="65"/>
        <v>0</v>
      </c>
      <c r="G366" s="224">
        <f t="shared" si="66"/>
        <v>44926</v>
      </c>
      <c r="H366" s="52">
        <f>VLOOKUP( $A366, Aop!$A$2:$P$453, 4, 0)</f>
        <v>625</v>
      </c>
      <c r="I366" s="52">
        <f t="shared" si="67"/>
        <v>2022</v>
      </c>
      <c r="J366" s="55"/>
      <c r="K366" s="52"/>
      <c r="L366" s="52"/>
      <c r="M366" s="55" t="str">
        <f t="shared" ca="1" si="57"/>
        <v/>
      </c>
      <c r="N366" s="55" t="str">
        <f t="shared" ca="1" si="53"/>
        <v/>
      </c>
    </row>
    <row r="367" spans="1:14" x14ac:dyDescent="0.3">
      <c r="A367" s="105">
        <v>377</v>
      </c>
      <c r="B367" s="52" t="str">
        <f>VLOOKUP( $A367, Aop!$A$2:$P$453, 2, 0)</f>
        <v>Aneks</v>
      </c>
      <c r="C367" s="55">
        <v>28</v>
      </c>
      <c r="D367" s="52" t="str">
        <f t="shared" si="63"/>
        <v>01755633</v>
      </c>
      <c r="E367" s="52" t="str">
        <f t="shared" si="64"/>
        <v>4400228130004</v>
      </c>
      <c r="F367" s="52" t="b">
        <f t="shared" si="65"/>
        <v>0</v>
      </c>
      <c r="G367" s="224">
        <f t="shared" si="66"/>
        <v>44926</v>
      </c>
      <c r="H367" s="52">
        <f>VLOOKUP( $A367, Aop!$A$2:$P$453, 4, 0)</f>
        <v>626</v>
      </c>
      <c r="I367" s="52">
        <f t="shared" si="67"/>
        <v>2022</v>
      </c>
      <c r="J367" s="55"/>
      <c r="K367" s="52"/>
      <c r="L367" s="52"/>
      <c r="M367" s="55" t="str">
        <f t="shared" ca="1" si="57"/>
        <v/>
      </c>
      <c r="N367" s="55" t="str">
        <f t="shared" ca="1" si="53"/>
        <v/>
      </c>
    </row>
    <row r="368" spans="1:14" x14ac:dyDescent="0.3">
      <c r="A368" s="105">
        <v>378</v>
      </c>
      <c r="B368" s="52" t="str">
        <f>VLOOKUP( $A368, Aop!$A$2:$P$453, 2, 0)</f>
        <v>Aneks</v>
      </c>
      <c r="C368" s="55">
        <v>28</v>
      </c>
      <c r="D368" s="52" t="str">
        <f t="shared" si="63"/>
        <v>01755633</v>
      </c>
      <c r="E368" s="52" t="str">
        <f t="shared" si="64"/>
        <v>4400228130004</v>
      </c>
      <c r="F368" s="52" t="b">
        <f t="shared" si="65"/>
        <v>0</v>
      </c>
      <c r="G368" s="224">
        <f t="shared" si="66"/>
        <v>44926</v>
      </c>
      <c r="H368" s="52">
        <f>VLOOKUP( $A368, Aop!$A$2:$P$453, 4, 0)</f>
        <v>627</v>
      </c>
      <c r="I368" s="52">
        <f t="shared" si="67"/>
        <v>2022</v>
      </c>
      <c r="J368" s="55"/>
      <c r="K368" s="52"/>
      <c r="L368" s="52"/>
      <c r="M368" s="55" t="str">
        <f t="shared" ca="1" si="57"/>
        <v/>
      </c>
      <c r="N368" s="55" t="str">
        <f t="shared" ca="1" si="53"/>
        <v/>
      </c>
    </row>
    <row r="369" spans="1:14" x14ac:dyDescent="0.3">
      <c r="A369" s="105">
        <v>379</v>
      </c>
      <c r="B369" s="52" t="str">
        <f>VLOOKUP( $A369, Aop!$A$2:$P$453, 2, 0)</f>
        <v>Aneks</v>
      </c>
      <c r="C369" s="55">
        <v>28</v>
      </c>
      <c r="D369" s="52" t="str">
        <f t="shared" si="63"/>
        <v>01755633</v>
      </c>
      <c r="E369" s="52" t="str">
        <f t="shared" si="64"/>
        <v>4400228130004</v>
      </c>
      <c r="F369" s="52" t="b">
        <f t="shared" si="65"/>
        <v>0</v>
      </c>
      <c r="G369" s="224">
        <f t="shared" si="66"/>
        <v>44926</v>
      </c>
      <c r="H369" s="52">
        <f>VLOOKUP( $A369, Aop!$A$2:$P$453, 4, 0)</f>
        <v>628</v>
      </c>
      <c r="I369" s="52">
        <f t="shared" si="67"/>
        <v>2022</v>
      </c>
      <c r="J369" s="55"/>
      <c r="K369" s="52"/>
      <c r="L369" s="52"/>
      <c r="M369" s="55" t="str">
        <f t="shared" ca="1" si="57"/>
        <v/>
      </c>
      <c r="N369" s="55" t="str">
        <f t="shared" ca="1" si="53"/>
        <v/>
      </c>
    </row>
    <row r="370" spans="1:14" x14ac:dyDescent="0.3">
      <c r="A370" s="105">
        <v>380</v>
      </c>
      <c r="B370" s="52" t="str">
        <f>VLOOKUP( $A370, Aop!$A$2:$P$453, 2, 0)</f>
        <v>Aneks</v>
      </c>
      <c r="C370" s="55">
        <v>28</v>
      </c>
      <c r="D370" s="52" t="str">
        <f t="shared" si="63"/>
        <v>01755633</v>
      </c>
      <c r="E370" s="52" t="str">
        <f t="shared" si="64"/>
        <v>4400228130004</v>
      </c>
      <c r="F370" s="52" t="b">
        <f t="shared" si="65"/>
        <v>0</v>
      </c>
      <c r="G370" s="224">
        <f t="shared" si="66"/>
        <v>44926</v>
      </c>
      <c r="H370" s="52">
        <f>VLOOKUP( $A370, Aop!$A$2:$P$453, 4, 0)</f>
        <v>629</v>
      </c>
      <c r="I370" s="52">
        <f t="shared" si="67"/>
        <v>2022</v>
      </c>
      <c r="J370" s="55"/>
      <c r="K370" s="52"/>
      <c r="L370" s="52"/>
      <c r="M370" s="55">
        <f t="shared" ca="1" si="57"/>
        <v>26595</v>
      </c>
      <c r="N370" s="55">
        <f t="shared" ca="1" si="53"/>
        <v>14858</v>
      </c>
    </row>
    <row r="371" spans="1:14" x14ac:dyDescent="0.3">
      <c r="A371" s="105">
        <v>381</v>
      </c>
      <c r="B371" s="52" t="str">
        <f>VLOOKUP( $A371, Aop!$A$2:$P$453, 2, 0)</f>
        <v>Aneks</v>
      </c>
      <c r="C371" s="55">
        <v>28</v>
      </c>
      <c r="D371" s="52" t="str">
        <f t="shared" si="63"/>
        <v>01755633</v>
      </c>
      <c r="E371" s="52" t="str">
        <f t="shared" si="64"/>
        <v>4400228130004</v>
      </c>
      <c r="F371" s="52" t="b">
        <f t="shared" si="65"/>
        <v>0</v>
      </c>
      <c r="G371" s="224">
        <f t="shared" si="66"/>
        <v>44926</v>
      </c>
      <c r="H371" s="52">
        <f>VLOOKUP( $A371, Aop!$A$2:$P$453, 4, 0)</f>
        <v>630</v>
      </c>
      <c r="I371" s="52">
        <f t="shared" si="67"/>
        <v>2022</v>
      </c>
      <c r="J371" s="55"/>
      <c r="K371" s="52"/>
      <c r="L371" s="52"/>
      <c r="M371" s="55">
        <f t="shared" ca="1" si="57"/>
        <v>200</v>
      </c>
      <c r="N371" s="55">
        <f t="shared" ca="1" si="53"/>
        <v>5500</v>
      </c>
    </row>
    <row r="372" spans="1:14" x14ac:dyDescent="0.3">
      <c r="A372" s="105">
        <v>382</v>
      </c>
      <c r="B372" s="52" t="str">
        <f>VLOOKUP( $A372, Aop!$A$2:$P$453, 2, 0)</f>
        <v>Aneks</v>
      </c>
      <c r="C372" s="55">
        <v>28</v>
      </c>
      <c r="D372" s="52" t="str">
        <f t="shared" si="63"/>
        <v>01755633</v>
      </c>
      <c r="E372" s="52" t="str">
        <f t="shared" si="64"/>
        <v>4400228130004</v>
      </c>
      <c r="F372" s="52" t="b">
        <f t="shared" si="65"/>
        <v>0</v>
      </c>
      <c r="G372" s="224">
        <f t="shared" si="66"/>
        <v>44926</v>
      </c>
      <c r="H372" s="52">
        <f>VLOOKUP( $A372, Aop!$A$2:$P$453, 4, 0)</f>
        <v>631</v>
      </c>
      <c r="I372" s="52">
        <f t="shared" si="67"/>
        <v>2022</v>
      </c>
      <c r="J372" s="55"/>
      <c r="K372" s="52"/>
      <c r="L372" s="52"/>
      <c r="M372" s="55" t="str">
        <f t="shared" ca="1" si="57"/>
        <v/>
      </c>
      <c r="N372" s="55">
        <f t="shared" ca="1" si="53"/>
        <v>3534</v>
      </c>
    </row>
    <row r="373" spans="1:14" x14ac:dyDescent="0.3">
      <c r="A373" s="105">
        <v>383</v>
      </c>
      <c r="B373" s="52" t="str">
        <f>VLOOKUP( $A373, Aop!$A$2:$P$453, 2, 0)</f>
        <v>Aneks</v>
      </c>
      <c r="C373" s="55">
        <v>28</v>
      </c>
      <c r="D373" s="52" t="str">
        <f t="shared" si="63"/>
        <v>01755633</v>
      </c>
      <c r="E373" s="52" t="str">
        <f t="shared" si="64"/>
        <v>4400228130004</v>
      </c>
      <c r="F373" s="52" t="b">
        <f t="shared" si="65"/>
        <v>0</v>
      </c>
      <c r="G373" s="224">
        <f t="shared" si="66"/>
        <v>44926</v>
      </c>
      <c r="H373" s="52">
        <f>VLOOKUP( $A373, Aop!$A$2:$P$453, 4, 0)</f>
        <v>632</v>
      </c>
      <c r="I373" s="52">
        <f t="shared" si="67"/>
        <v>2022</v>
      </c>
      <c r="J373" s="55"/>
      <c r="K373" s="52"/>
      <c r="L373" s="52"/>
      <c r="M373" s="55">
        <f t="shared" ca="1" si="57"/>
        <v>496344</v>
      </c>
      <c r="N373" s="55">
        <f t="shared" ca="1" si="53"/>
        <v>445670</v>
      </c>
    </row>
    <row r="374" spans="1:14" x14ac:dyDescent="0.3">
      <c r="A374" s="105">
        <v>384</v>
      </c>
      <c r="B374" s="52" t="str">
        <f>VLOOKUP( $A374, Aop!$A$2:$P$453, 2, 0)</f>
        <v>Aneks</v>
      </c>
      <c r="C374" s="55">
        <v>28</v>
      </c>
      <c r="D374" s="52" t="str">
        <f t="shared" si="63"/>
        <v>01755633</v>
      </c>
      <c r="E374" s="52" t="str">
        <f t="shared" si="64"/>
        <v>4400228130004</v>
      </c>
      <c r="F374" s="52" t="b">
        <f t="shared" si="65"/>
        <v>0</v>
      </c>
      <c r="G374" s="224">
        <f t="shared" si="66"/>
        <v>44926</v>
      </c>
      <c r="H374" s="52">
        <f>VLOOKUP( $A374, Aop!$A$2:$P$453, 4, 0)</f>
        <v>633</v>
      </c>
      <c r="I374" s="52">
        <f t="shared" si="67"/>
        <v>2022</v>
      </c>
      <c r="J374" s="55"/>
      <c r="K374" s="52"/>
      <c r="L374" s="52"/>
      <c r="M374" s="55" t="str">
        <f t="shared" ca="1" si="57"/>
        <v/>
      </c>
      <c r="N374" s="55" t="str">
        <f t="shared" ca="1" si="53"/>
        <v/>
      </c>
    </row>
    <row r="375" spans="1:14" x14ac:dyDescent="0.3">
      <c r="A375" s="105">
        <v>385</v>
      </c>
      <c r="B375" s="52" t="str">
        <f>VLOOKUP( $A375, Aop!$A$2:$P$453, 2, 0)</f>
        <v>Aneks</v>
      </c>
      <c r="C375" s="55">
        <v>28</v>
      </c>
      <c r="D375" s="52" t="str">
        <f t="shared" si="63"/>
        <v>01755633</v>
      </c>
      <c r="E375" s="52" t="str">
        <f t="shared" si="64"/>
        <v>4400228130004</v>
      </c>
      <c r="F375" s="52" t="b">
        <f t="shared" si="65"/>
        <v>0</v>
      </c>
      <c r="G375" s="224">
        <f t="shared" si="66"/>
        <v>44926</v>
      </c>
      <c r="H375" s="52">
        <f>VLOOKUP( $A375, Aop!$A$2:$P$453, 4, 0)</f>
        <v>634</v>
      </c>
      <c r="I375" s="52">
        <f t="shared" si="67"/>
        <v>2022</v>
      </c>
      <c r="J375" s="55"/>
      <c r="K375" s="52"/>
      <c r="L375" s="52"/>
      <c r="M375" s="55">
        <f t="shared" ca="1" si="57"/>
        <v>17025</v>
      </c>
      <c r="N375" s="55">
        <f t="shared" ca="1" si="53"/>
        <v>12858</v>
      </c>
    </row>
    <row r="376" spans="1:14" x14ac:dyDescent="0.3">
      <c r="A376" s="105">
        <v>386</v>
      </c>
      <c r="B376" s="52" t="str">
        <f>VLOOKUP( $A376, Aop!$A$2:$P$453, 2, 0)</f>
        <v>Aneks</v>
      </c>
      <c r="C376" s="55">
        <v>28</v>
      </c>
      <c r="D376" s="52" t="str">
        <f t="shared" si="63"/>
        <v>01755633</v>
      </c>
      <c r="E376" s="52" t="str">
        <f t="shared" si="64"/>
        <v>4400228130004</v>
      </c>
      <c r="F376" s="52" t="b">
        <f t="shared" si="65"/>
        <v>0</v>
      </c>
      <c r="G376" s="224">
        <f t="shared" si="66"/>
        <v>44926</v>
      </c>
      <c r="H376" s="52">
        <f>VLOOKUP( $A376, Aop!$A$2:$P$453, 4, 0)</f>
        <v>635</v>
      </c>
      <c r="I376" s="52">
        <f t="shared" si="67"/>
        <v>2022</v>
      </c>
      <c r="J376" s="55"/>
      <c r="K376" s="52"/>
      <c r="L376" s="52"/>
      <c r="M376" s="55">
        <f t="shared" ca="1" si="57"/>
        <v>17025</v>
      </c>
      <c r="N376" s="55">
        <f t="shared" ca="1" si="53"/>
        <v>12858</v>
      </c>
    </row>
    <row r="377" spans="1:14" x14ac:dyDescent="0.3">
      <c r="A377" s="105">
        <v>387</v>
      </c>
      <c r="B377" s="52" t="str">
        <f>VLOOKUP( $A377, Aop!$A$2:$P$453, 2, 0)</f>
        <v>Aneks</v>
      </c>
      <c r="C377" s="55">
        <v>28</v>
      </c>
      <c r="D377" s="52" t="str">
        <f t="shared" si="63"/>
        <v>01755633</v>
      </c>
      <c r="E377" s="52" t="str">
        <f t="shared" si="64"/>
        <v>4400228130004</v>
      </c>
      <c r="F377" s="52" t="b">
        <f t="shared" si="65"/>
        <v>0</v>
      </c>
      <c r="G377" s="224">
        <f t="shared" si="66"/>
        <v>44926</v>
      </c>
      <c r="H377" s="52">
        <f>VLOOKUP( $A377, Aop!$A$2:$P$453, 4, 0)</f>
        <v>636</v>
      </c>
      <c r="I377" s="52">
        <f t="shared" si="67"/>
        <v>2022</v>
      </c>
      <c r="J377" s="55"/>
      <c r="K377" s="52"/>
      <c r="L377" s="52"/>
      <c r="M377" s="55">
        <f t="shared" ca="1" si="57"/>
        <v>242320</v>
      </c>
      <c r="N377" s="55">
        <f t="shared" ca="1" si="53"/>
        <v>226760</v>
      </c>
    </row>
    <row r="378" spans="1:14" x14ac:dyDescent="0.3">
      <c r="A378" s="105">
        <v>388</v>
      </c>
      <c r="B378" s="52" t="str">
        <f>VLOOKUP( $A378, Aop!$A$2:$P$453, 2, 0)</f>
        <v>Aneks</v>
      </c>
      <c r="C378" s="55">
        <v>28</v>
      </c>
      <c r="D378" s="52" t="str">
        <f t="shared" si="63"/>
        <v>01755633</v>
      </c>
      <c r="E378" s="52" t="str">
        <f t="shared" si="64"/>
        <v>4400228130004</v>
      </c>
      <c r="F378" s="52" t="b">
        <f t="shared" si="65"/>
        <v>0</v>
      </c>
      <c r="G378" s="224">
        <f t="shared" si="66"/>
        <v>44926</v>
      </c>
      <c r="H378" s="52">
        <f>VLOOKUP( $A378, Aop!$A$2:$P$453, 4, 0)</f>
        <v>637</v>
      </c>
      <c r="I378" s="52">
        <f t="shared" si="67"/>
        <v>2022</v>
      </c>
      <c r="J378" s="55"/>
      <c r="K378" s="52"/>
      <c r="L378" s="52"/>
      <c r="M378" s="55">
        <f t="shared" ca="1" si="57"/>
        <v>0</v>
      </c>
      <c r="N378" s="55" t="str">
        <f t="shared" ca="1" si="53"/>
        <v/>
      </c>
    </row>
    <row r="379" spans="1:14" x14ac:dyDescent="0.3">
      <c r="A379" s="105">
        <v>389</v>
      </c>
      <c r="B379" s="52" t="str">
        <f>VLOOKUP( $A379, Aop!$A$2:$P$453, 2, 0)</f>
        <v>Aneks</v>
      </c>
      <c r="C379" s="55">
        <v>28</v>
      </c>
      <c r="D379" s="52" t="str">
        <f t="shared" si="63"/>
        <v>01755633</v>
      </c>
      <c r="E379" s="52" t="str">
        <f t="shared" si="64"/>
        <v>4400228130004</v>
      </c>
      <c r="F379" s="52" t="b">
        <f t="shared" si="65"/>
        <v>0</v>
      </c>
      <c r="G379" s="224">
        <f t="shared" si="66"/>
        <v>44926</v>
      </c>
      <c r="H379" s="52">
        <f>VLOOKUP( $A379, Aop!$A$2:$P$453, 4, 0)</f>
        <v>638</v>
      </c>
      <c r="I379" s="52">
        <f t="shared" si="67"/>
        <v>2022</v>
      </c>
      <c r="J379" s="55"/>
      <c r="K379" s="52"/>
      <c r="L379" s="52"/>
      <c r="M379" s="55">
        <f t="shared" ca="1" si="57"/>
        <v>34322</v>
      </c>
      <c r="N379" s="55">
        <f t="shared" ca="1" si="53"/>
        <v>56689</v>
      </c>
    </row>
    <row r="380" spans="1:14" x14ac:dyDescent="0.3">
      <c r="A380" s="105">
        <v>390</v>
      </c>
      <c r="B380" s="52" t="str">
        <f>VLOOKUP( $A380, Aop!$A$2:$P$453, 2, 0)</f>
        <v>Aneks</v>
      </c>
      <c r="C380" s="55">
        <v>28</v>
      </c>
      <c r="D380" s="52" t="str">
        <f t="shared" si="63"/>
        <v>01755633</v>
      </c>
      <c r="E380" s="52" t="str">
        <f t="shared" si="64"/>
        <v>4400228130004</v>
      </c>
      <c r="F380" s="52" t="b">
        <f t="shared" si="65"/>
        <v>0</v>
      </c>
      <c r="G380" s="224">
        <f t="shared" si="66"/>
        <v>44926</v>
      </c>
      <c r="H380" s="52">
        <f>VLOOKUP( $A380, Aop!$A$2:$P$453, 4, 0)</f>
        <v>639</v>
      </c>
      <c r="I380" s="52">
        <f t="shared" si="67"/>
        <v>2022</v>
      </c>
      <c r="J380" s="55"/>
      <c r="K380" s="52"/>
      <c r="L380" s="52"/>
      <c r="M380" s="55">
        <f t="shared" ca="1" si="57"/>
        <v>61571</v>
      </c>
      <c r="N380" s="55">
        <f t="shared" ca="1" si="53"/>
        <v>69771</v>
      </c>
    </row>
    <row r="381" spans="1:14" x14ac:dyDescent="0.3">
      <c r="A381" s="105">
        <v>391</v>
      </c>
      <c r="B381" s="52" t="str">
        <f>VLOOKUP( $A381, Aop!$A$2:$P$453, 2, 0)</f>
        <v>Aneks</v>
      </c>
      <c r="C381" s="55">
        <v>28</v>
      </c>
      <c r="D381" s="52" t="str">
        <f t="shared" si="63"/>
        <v>01755633</v>
      </c>
      <c r="E381" s="52" t="str">
        <f t="shared" si="64"/>
        <v>4400228130004</v>
      </c>
      <c r="F381" s="52" t="b">
        <f t="shared" si="65"/>
        <v>0</v>
      </c>
      <c r="G381" s="224">
        <f t="shared" si="66"/>
        <v>44926</v>
      </c>
      <c r="H381" s="52">
        <f>VLOOKUP( $A381, Aop!$A$2:$P$453, 4, 0)</f>
        <v>640</v>
      </c>
      <c r="I381" s="52">
        <f t="shared" si="67"/>
        <v>2022</v>
      </c>
      <c r="J381" s="55"/>
      <c r="K381" s="52"/>
      <c r="L381" s="52"/>
      <c r="M381" s="55" t="str">
        <f t="shared" ca="1" si="57"/>
        <v/>
      </c>
      <c r="N381" s="55" t="str">
        <f t="shared" ca="1" si="53"/>
        <v/>
      </c>
    </row>
    <row r="382" spans="1:14" x14ac:dyDescent="0.3">
      <c r="A382" s="105">
        <v>392</v>
      </c>
      <c r="B382" s="52" t="str">
        <f>VLOOKUP( $A382, Aop!$A$2:$P$453, 2, 0)</f>
        <v>Aneks</v>
      </c>
      <c r="C382" s="55">
        <v>28</v>
      </c>
      <c r="D382" s="52" t="str">
        <f t="shared" ref="D382:D408" si="68">Podatak_MB</f>
        <v>01755633</v>
      </c>
      <c r="E382" s="52" t="str">
        <f t="shared" ref="E382:E408" si="69">Podatak_JIB</f>
        <v>4400228130004</v>
      </c>
      <c r="F382" s="52" t="b">
        <f t="shared" ref="F382:F408" si="70">Konsolidovan_izvjestaj</f>
        <v>0</v>
      </c>
      <c r="G382" s="224">
        <f t="shared" si="66"/>
        <v>44926</v>
      </c>
      <c r="H382" s="52">
        <f>VLOOKUP( $A382, Aop!$A$2:$P$453, 4, 0)</f>
        <v>641</v>
      </c>
      <c r="I382" s="52">
        <f t="shared" ref="I382:I408" si="71">Godina</f>
        <v>2022</v>
      </c>
      <c r="J382" s="55"/>
      <c r="K382" s="52"/>
      <c r="L382" s="52"/>
      <c r="M382" s="55">
        <f t="shared" ca="1" si="57"/>
        <v>45250</v>
      </c>
      <c r="N382" s="55">
        <f t="shared" ca="1" si="53"/>
        <v>11495</v>
      </c>
    </row>
    <row r="383" spans="1:14" x14ac:dyDescent="0.3">
      <c r="A383" s="105">
        <v>393</v>
      </c>
      <c r="B383" s="52" t="str">
        <f>VLOOKUP( $A383, Aop!$A$2:$P$453, 2, 0)</f>
        <v>Aneks</v>
      </c>
      <c r="C383" s="55">
        <v>28</v>
      </c>
      <c r="D383" s="52" t="str">
        <f t="shared" si="68"/>
        <v>01755633</v>
      </c>
      <c r="E383" s="52" t="str">
        <f t="shared" si="69"/>
        <v>4400228130004</v>
      </c>
      <c r="F383" s="52" t="b">
        <f t="shared" si="70"/>
        <v>0</v>
      </c>
      <c r="G383" s="224">
        <f t="shared" si="66"/>
        <v>44926</v>
      </c>
      <c r="H383" s="52">
        <f>VLOOKUP( $A383, Aop!$A$2:$P$453, 4, 0)</f>
        <v>642</v>
      </c>
      <c r="I383" s="52">
        <f t="shared" si="71"/>
        <v>2022</v>
      </c>
      <c r="J383" s="55"/>
      <c r="K383" s="52"/>
      <c r="L383" s="52"/>
      <c r="M383" s="55">
        <f t="shared" ca="1" si="57"/>
        <v>1365</v>
      </c>
      <c r="N383" s="55">
        <f t="shared" ca="1" si="53"/>
        <v>1288</v>
      </c>
    </row>
    <row r="384" spans="1:14" x14ac:dyDescent="0.3">
      <c r="A384" s="105">
        <v>394</v>
      </c>
      <c r="B384" s="52" t="str">
        <f>VLOOKUP( $A384, Aop!$A$2:$P$453, 2, 0)</f>
        <v>Aneks</v>
      </c>
      <c r="C384" s="55">
        <v>28</v>
      </c>
      <c r="D384" s="52" t="str">
        <f t="shared" si="68"/>
        <v>01755633</v>
      </c>
      <c r="E384" s="52" t="str">
        <f t="shared" si="69"/>
        <v>4400228130004</v>
      </c>
      <c r="F384" s="52" t="b">
        <f t="shared" si="70"/>
        <v>0</v>
      </c>
      <c r="G384" s="224">
        <f t="shared" si="66"/>
        <v>44926</v>
      </c>
      <c r="H384" s="52">
        <f>VLOOKUP( $A384, Aop!$A$2:$P$453, 4, 0)</f>
        <v>643</v>
      </c>
      <c r="I384" s="52">
        <f t="shared" si="71"/>
        <v>2022</v>
      </c>
      <c r="J384" s="55"/>
      <c r="K384" s="52"/>
      <c r="L384" s="52"/>
      <c r="M384" s="55" t="str">
        <f t="shared" ca="1" si="57"/>
        <v/>
      </c>
      <c r="N384" s="55" t="str">
        <f t="shared" ca="1" si="53"/>
        <v/>
      </c>
    </row>
    <row r="385" spans="1:14" x14ac:dyDescent="0.3">
      <c r="A385" s="105">
        <v>395</v>
      </c>
      <c r="B385" s="52" t="str">
        <f>VLOOKUP( $A385, Aop!$A$2:$P$453, 2, 0)</f>
        <v>Aneks</v>
      </c>
      <c r="C385" s="55">
        <v>28</v>
      </c>
      <c r="D385" s="52" t="str">
        <f t="shared" si="68"/>
        <v>01755633</v>
      </c>
      <c r="E385" s="52" t="str">
        <f t="shared" si="69"/>
        <v>4400228130004</v>
      </c>
      <c r="F385" s="52" t="b">
        <f t="shared" si="70"/>
        <v>0</v>
      </c>
      <c r="G385" s="224">
        <f t="shared" si="66"/>
        <v>44926</v>
      </c>
      <c r="H385" s="52">
        <f>VLOOKUP( $A385, Aop!$A$2:$P$453, 4, 0)</f>
        <v>644</v>
      </c>
      <c r="I385" s="52">
        <f t="shared" si="71"/>
        <v>2022</v>
      </c>
      <c r="J385" s="55"/>
      <c r="K385" s="52"/>
      <c r="L385" s="52"/>
      <c r="M385" s="55">
        <f t="shared" ca="1" si="57"/>
        <v>99812</v>
      </c>
      <c r="N385" s="55">
        <f t="shared" ca="1" si="53"/>
        <v>87517</v>
      </c>
    </row>
    <row r="386" spans="1:14" x14ac:dyDescent="0.3">
      <c r="A386" s="105">
        <v>396</v>
      </c>
      <c r="B386" s="52" t="str">
        <f>VLOOKUP( $A386, Aop!$A$2:$P$453, 2, 0)</f>
        <v>Aneks</v>
      </c>
      <c r="C386" s="55">
        <v>28</v>
      </c>
      <c r="D386" s="52" t="str">
        <f t="shared" si="68"/>
        <v>01755633</v>
      </c>
      <c r="E386" s="52" t="str">
        <f t="shared" si="69"/>
        <v>4400228130004</v>
      </c>
      <c r="F386" s="52" t="b">
        <f t="shared" si="70"/>
        <v>0</v>
      </c>
      <c r="G386" s="224">
        <f t="shared" si="66"/>
        <v>44926</v>
      </c>
      <c r="H386" s="52">
        <f>VLOOKUP( $A386, Aop!$A$2:$P$453, 4, 0)</f>
        <v>645</v>
      </c>
      <c r="I386" s="52">
        <f t="shared" si="71"/>
        <v>2022</v>
      </c>
      <c r="J386" s="55"/>
      <c r="K386" s="52"/>
      <c r="L386" s="52"/>
      <c r="M386" s="55">
        <f t="shared" ca="1" si="57"/>
        <v>0</v>
      </c>
      <c r="N386" s="55" t="str">
        <f t="shared" ref="N386:N408" ca="1" si="72">IF( VLOOKUP( $H386, INDIRECT( "Lookup_" &amp; $B386), IF( LEFT( $B386, 2) = "BS", S$2, S$1), 0) = "", "", VLOOKUP( $H386, INDIRECT( "Lookup_" &amp; $B386), IF( LEFT( $B386, 2) = "BS", S$2, S$1), 0))</f>
        <v/>
      </c>
    </row>
    <row r="387" spans="1:14" x14ac:dyDescent="0.3">
      <c r="A387" s="105">
        <v>397</v>
      </c>
      <c r="B387" s="52" t="str">
        <f>VLOOKUP( $A387, Aop!$A$2:$P$453, 2, 0)</f>
        <v>Aneks</v>
      </c>
      <c r="C387" s="55">
        <v>28</v>
      </c>
      <c r="D387" s="52" t="str">
        <f t="shared" si="68"/>
        <v>01755633</v>
      </c>
      <c r="E387" s="52" t="str">
        <f t="shared" si="69"/>
        <v>4400228130004</v>
      </c>
      <c r="F387" s="52" t="b">
        <f t="shared" si="70"/>
        <v>0</v>
      </c>
      <c r="G387" s="224">
        <f t="shared" si="66"/>
        <v>44926</v>
      </c>
      <c r="H387" s="52">
        <f>VLOOKUP( $A387, Aop!$A$2:$P$453, 4, 0)</f>
        <v>646</v>
      </c>
      <c r="I387" s="52">
        <f t="shared" si="71"/>
        <v>2022</v>
      </c>
      <c r="J387" s="55"/>
      <c r="K387" s="52"/>
      <c r="L387" s="52"/>
      <c r="M387" s="55">
        <f t="shared" ca="1" si="57"/>
        <v>184629</v>
      </c>
      <c r="N387" s="55">
        <f t="shared" ca="1" si="72"/>
        <v>129731</v>
      </c>
    </row>
    <row r="388" spans="1:14" x14ac:dyDescent="0.3">
      <c r="A388" s="105">
        <v>398</v>
      </c>
      <c r="B388" s="52" t="str">
        <f>VLOOKUP( $A388, Aop!$A$2:$P$453, 2, 0)</f>
        <v>Aneks</v>
      </c>
      <c r="C388" s="55">
        <v>28</v>
      </c>
      <c r="D388" s="52" t="str">
        <f t="shared" si="68"/>
        <v>01755633</v>
      </c>
      <c r="E388" s="52" t="str">
        <f t="shared" si="69"/>
        <v>4400228130004</v>
      </c>
      <c r="F388" s="52" t="b">
        <f t="shared" si="70"/>
        <v>0</v>
      </c>
      <c r="G388" s="224">
        <f t="shared" si="66"/>
        <v>44926</v>
      </c>
      <c r="H388" s="52">
        <f>VLOOKUP( $A388, Aop!$A$2:$P$453, 4, 0)</f>
        <v>647</v>
      </c>
      <c r="I388" s="52">
        <f t="shared" si="71"/>
        <v>2022</v>
      </c>
      <c r="J388" s="55"/>
      <c r="K388" s="52"/>
      <c r="L388" s="52"/>
      <c r="M388" s="55">
        <f t="shared" ca="1" si="57"/>
        <v>69527</v>
      </c>
      <c r="N388" s="55">
        <f t="shared" ca="1" si="72"/>
        <v>35195</v>
      </c>
    </row>
    <row r="389" spans="1:14" x14ac:dyDescent="0.3">
      <c r="A389" s="105">
        <v>399</v>
      </c>
      <c r="B389" s="52" t="str">
        <f>VLOOKUP( $A389, Aop!$A$2:$P$453, 2, 0)</f>
        <v>Aneks</v>
      </c>
      <c r="C389" s="55">
        <v>28</v>
      </c>
      <c r="D389" s="52" t="str">
        <f t="shared" si="68"/>
        <v>01755633</v>
      </c>
      <c r="E389" s="52" t="str">
        <f t="shared" si="69"/>
        <v>4400228130004</v>
      </c>
      <c r="F389" s="52" t="b">
        <f t="shared" si="70"/>
        <v>0</v>
      </c>
      <c r="G389" s="224">
        <f t="shared" si="66"/>
        <v>44926</v>
      </c>
      <c r="H389" s="52">
        <f>VLOOKUP( $A389, Aop!$A$2:$P$453, 4, 0)</f>
        <v>648</v>
      </c>
      <c r="I389" s="52">
        <f t="shared" si="71"/>
        <v>2022</v>
      </c>
      <c r="J389" s="55"/>
      <c r="K389" s="52"/>
      <c r="L389" s="52"/>
      <c r="M389" s="55">
        <f t="shared" ca="1" si="57"/>
        <v>2459</v>
      </c>
      <c r="N389" s="55">
        <f t="shared" ca="1" si="72"/>
        <v>1728</v>
      </c>
    </row>
    <row r="390" spans="1:14" x14ac:dyDescent="0.3">
      <c r="A390" s="105">
        <v>400</v>
      </c>
      <c r="B390" s="52" t="str">
        <f>VLOOKUP( $A390, Aop!$A$2:$P$453, 2, 0)</f>
        <v>Aneks</v>
      </c>
      <c r="C390" s="55">
        <v>28</v>
      </c>
      <c r="D390" s="52" t="str">
        <f t="shared" si="68"/>
        <v>01755633</v>
      </c>
      <c r="E390" s="52" t="str">
        <f t="shared" si="69"/>
        <v>4400228130004</v>
      </c>
      <c r="F390" s="52" t="b">
        <f t="shared" si="70"/>
        <v>0</v>
      </c>
      <c r="G390" s="224">
        <f t="shared" si="66"/>
        <v>44926</v>
      </c>
      <c r="H390" s="52">
        <f>VLOOKUP( $A390, Aop!$A$2:$P$453, 4, 0)</f>
        <v>649</v>
      </c>
      <c r="I390" s="52">
        <f t="shared" si="71"/>
        <v>2022</v>
      </c>
      <c r="J390" s="55"/>
      <c r="K390" s="52"/>
      <c r="L390" s="52"/>
      <c r="M390" s="55">
        <f t="shared" ca="1" si="57"/>
        <v>3723</v>
      </c>
      <c r="N390" s="55">
        <f t="shared" ca="1" si="72"/>
        <v>4090</v>
      </c>
    </row>
    <row r="391" spans="1:14" x14ac:dyDescent="0.3">
      <c r="A391" s="105">
        <v>401</v>
      </c>
      <c r="B391" s="52" t="str">
        <f>VLOOKUP( $A391, Aop!$A$2:$P$453, 2, 0)</f>
        <v>Aneks</v>
      </c>
      <c r="C391" s="55">
        <v>28</v>
      </c>
      <c r="D391" s="52" t="str">
        <f t="shared" si="68"/>
        <v>01755633</v>
      </c>
      <c r="E391" s="52" t="str">
        <f t="shared" si="69"/>
        <v>4400228130004</v>
      </c>
      <c r="F391" s="52" t="b">
        <f t="shared" si="70"/>
        <v>0</v>
      </c>
      <c r="G391" s="224">
        <f t="shared" si="66"/>
        <v>44926</v>
      </c>
      <c r="H391" s="52">
        <f>VLOOKUP( $A391, Aop!$A$2:$P$453, 4, 0)</f>
        <v>650</v>
      </c>
      <c r="I391" s="52">
        <f t="shared" si="71"/>
        <v>2022</v>
      </c>
      <c r="J391" s="55"/>
      <c r="K391" s="52"/>
      <c r="L391" s="52"/>
      <c r="M391" s="55">
        <f t="shared" ca="1" si="57"/>
        <v>7733</v>
      </c>
      <c r="N391" s="55">
        <f t="shared" ca="1" si="72"/>
        <v>3305</v>
      </c>
    </row>
    <row r="392" spans="1:14" x14ac:dyDescent="0.3">
      <c r="A392" s="105">
        <v>402</v>
      </c>
      <c r="B392" s="52" t="str">
        <f>VLOOKUP( $A392, Aop!$A$2:$P$453, 2, 0)</f>
        <v>Aneks</v>
      </c>
      <c r="C392" s="55">
        <v>28</v>
      </c>
      <c r="D392" s="52" t="str">
        <f t="shared" si="68"/>
        <v>01755633</v>
      </c>
      <c r="E392" s="52" t="str">
        <f t="shared" si="69"/>
        <v>4400228130004</v>
      </c>
      <c r="F392" s="52" t="b">
        <f t="shared" si="70"/>
        <v>0</v>
      </c>
      <c r="G392" s="224">
        <f t="shared" si="66"/>
        <v>44926</v>
      </c>
      <c r="H392" s="52">
        <f>VLOOKUP( $A392, Aop!$A$2:$P$453, 4, 0)</f>
        <v>651</v>
      </c>
      <c r="I392" s="52">
        <f t="shared" si="71"/>
        <v>2022</v>
      </c>
      <c r="J392" s="55"/>
      <c r="K392" s="52"/>
      <c r="L392" s="52"/>
      <c r="M392" s="55">
        <f t="shared" ca="1" si="57"/>
        <v>16068</v>
      </c>
      <c r="N392" s="55">
        <f t="shared" ca="1" si="72"/>
        <v>12748</v>
      </c>
    </row>
    <row r="393" spans="1:14" x14ac:dyDescent="0.3">
      <c r="A393" s="105">
        <v>403</v>
      </c>
      <c r="B393" s="52" t="str">
        <f>VLOOKUP( $A393, Aop!$A$2:$P$453, 2, 0)</f>
        <v>Aneks</v>
      </c>
      <c r="C393" s="55">
        <v>28</v>
      </c>
      <c r="D393" s="52" t="str">
        <f t="shared" si="68"/>
        <v>01755633</v>
      </c>
      <c r="E393" s="52" t="str">
        <f t="shared" si="69"/>
        <v>4400228130004</v>
      </c>
      <c r="F393" s="52" t="b">
        <f t="shared" si="70"/>
        <v>0</v>
      </c>
      <c r="G393" s="224">
        <f t="shared" si="66"/>
        <v>44926</v>
      </c>
      <c r="H393" s="52">
        <f>VLOOKUP( $A393, Aop!$A$2:$P$453, 4, 0)</f>
        <v>652</v>
      </c>
      <c r="I393" s="52">
        <f t="shared" si="71"/>
        <v>2022</v>
      </c>
      <c r="J393" s="55"/>
      <c r="K393" s="52"/>
      <c r="L393" s="52"/>
      <c r="M393" s="55">
        <f t="shared" ca="1" si="57"/>
        <v>8497</v>
      </c>
      <c r="N393" s="55">
        <f t="shared" ca="1" si="72"/>
        <v>7293</v>
      </c>
    </row>
    <row r="394" spans="1:14" x14ac:dyDescent="0.3">
      <c r="A394" s="105">
        <v>404</v>
      </c>
      <c r="B394" s="52" t="str">
        <f>VLOOKUP( $A394, Aop!$A$2:$P$453, 2, 0)</f>
        <v>Aneks</v>
      </c>
      <c r="C394" s="55">
        <v>28</v>
      </c>
      <c r="D394" s="52" t="str">
        <f t="shared" si="68"/>
        <v>01755633</v>
      </c>
      <c r="E394" s="52" t="str">
        <f t="shared" si="69"/>
        <v>4400228130004</v>
      </c>
      <c r="F394" s="52" t="b">
        <f t="shared" si="70"/>
        <v>0</v>
      </c>
      <c r="G394" s="224">
        <f t="shared" si="66"/>
        <v>44926</v>
      </c>
      <c r="H394" s="52">
        <f>VLOOKUP( $A394, Aop!$A$2:$P$453, 4, 0)</f>
        <v>653</v>
      </c>
      <c r="I394" s="52">
        <f t="shared" si="71"/>
        <v>2022</v>
      </c>
      <c r="J394" s="55"/>
      <c r="K394" s="52"/>
      <c r="L394" s="52"/>
      <c r="M394" s="55">
        <f t="shared" ca="1" si="57"/>
        <v>1962</v>
      </c>
      <c r="N394" s="55">
        <f t="shared" ca="1" si="72"/>
        <v>1307</v>
      </c>
    </row>
    <row r="395" spans="1:14" x14ac:dyDescent="0.3">
      <c r="A395" s="105">
        <v>405</v>
      </c>
      <c r="B395" s="52" t="str">
        <f>VLOOKUP( $A395, Aop!$A$2:$P$453, 2, 0)</f>
        <v>Aneks</v>
      </c>
      <c r="C395" s="55">
        <v>28</v>
      </c>
      <c r="D395" s="52" t="str">
        <f t="shared" si="68"/>
        <v>01755633</v>
      </c>
      <c r="E395" s="52" t="str">
        <f t="shared" si="69"/>
        <v>4400228130004</v>
      </c>
      <c r="F395" s="52" t="b">
        <f t="shared" si="70"/>
        <v>0</v>
      </c>
      <c r="G395" s="224">
        <f t="shared" si="66"/>
        <v>44926</v>
      </c>
      <c r="H395" s="52">
        <f>VLOOKUP( $A395, Aop!$A$2:$P$453, 4, 0)</f>
        <v>654</v>
      </c>
      <c r="I395" s="52">
        <f t="shared" si="71"/>
        <v>2022</v>
      </c>
      <c r="J395" s="55"/>
      <c r="K395" s="52"/>
      <c r="L395" s="52"/>
      <c r="M395" s="55">
        <f t="shared" ca="1" si="57"/>
        <v>60830</v>
      </c>
      <c r="N395" s="55">
        <f t="shared" ca="1" si="72"/>
        <v>60201</v>
      </c>
    </row>
    <row r="396" spans="1:14" x14ac:dyDescent="0.3">
      <c r="A396" s="105">
        <v>406</v>
      </c>
      <c r="B396" s="52" t="str">
        <f>VLOOKUP( $A396, Aop!$A$2:$P$453, 2, 0)</f>
        <v>Aneks</v>
      </c>
      <c r="C396" s="55">
        <v>28</v>
      </c>
      <c r="D396" s="52" t="str">
        <f t="shared" si="68"/>
        <v>01755633</v>
      </c>
      <c r="E396" s="52" t="str">
        <f t="shared" si="69"/>
        <v>4400228130004</v>
      </c>
      <c r="F396" s="52" t="b">
        <f t="shared" si="70"/>
        <v>0</v>
      </c>
      <c r="G396" s="224">
        <f t="shared" si="66"/>
        <v>44926</v>
      </c>
      <c r="H396" s="52">
        <f>VLOOKUP( $A396, Aop!$A$2:$P$453, 4, 0)</f>
        <v>655</v>
      </c>
      <c r="I396" s="52">
        <f t="shared" si="71"/>
        <v>2022</v>
      </c>
      <c r="J396" s="55"/>
      <c r="K396" s="52"/>
      <c r="L396" s="52"/>
      <c r="M396" s="55">
        <f t="shared" ca="1" si="57"/>
        <v>4555</v>
      </c>
      <c r="N396" s="55">
        <f t="shared" ca="1" si="72"/>
        <v>7537</v>
      </c>
    </row>
    <row r="397" spans="1:14" x14ac:dyDescent="0.3">
      <c r="A397" s="105">
        <v>407</v>
      </c>
      <c r="B397" s="52" t="str">
        <f>VLOOKUP( $A397, Aop!$A$2:$P$453, 2, 0)</f>
        <v>Aneks</v>
      </c>
      <c r="C397" s="55">
        <v>28</v>
      </c>
      <c r="D397" s="52" t="str">
        <f t="shared" si="68"/>
        <v>01755633</v>
      </c>
      <c r="E397" s="52" t="str">
        <f t="shared" si="69"/>
        <v>4400228130004</v>
      </c>
      <c r="F397" s="52" t="b">
        <f t="shared" si="70"/>
        <v>0</v>
      </c>
      <c r="G397" s="224">
        <f t="shared" si="66"/>
        <v>44926</v>
      </c>
      <c r="H397" s="52">
        <f>VLOOKUP( $A397, Aop!$A$2:$P$453, 4, 0)</f>
        <v>656</v>
      </c>
      <c r="I397" s="52">
        <f t="shared" si="71"/>
        <v>2022</v>
      </c>
      <c r="J397" s="55"/>
      <c r="K397" s="52"/>
      <c r="L397" s="52"/>
      <c r="M397" s="55">
        <f t="shared" ca="1" si="57"/>
        <v>15457</v>
      </c>
      <c r="N397" s="55">
        <f t="shared" ca="1" si="72"/>
        <v>2145</v>
      </c>
    </row>
    <row r="398" spans="1:14" x14ac:dyDescent="0.3">
      <c r="A398" s="105">
        <v>408</v>
      </c>
      <c r="B398" s="52" t="str">
        <f>VLOOKUP( $A398, Aop!$A$2:$P$453, 2, 0)</f>
        <v>Aneks</v>
      </c>
      <c r="C398" s="55">
        <v>28</v>
      </c>
      <c r="D398" s="52" t="str">
        <f t="shared" si="68"/>
        <v>01755633</v>
      </c>
      <c r="E398" s="52" t="str">
        <f t="shared" si="69"/>
        <v>4400228130004</v>
      </c>
      <c r="F398" s="52" t="b">
        <f t="shared" si="70"/>
        <v>0</v>
      </c>
      <c r="G398" s="224">
        <f t="shared" si="66"/>
        <v>44926</v>
      </c>
      <c r="H398" s="52">
        <f>VLOOKUP( $A398, Aop!$A$2:$P$453, 4, 0)</f>
        <v>657</v>
      </c>
      <c r="I398" s="52">
        <f t="shared" si="71"/>
        <v>2022</v>
      </c>
      <c r="J398" s="55"/>
      <c r="K398" s="52"/>
      <c r="L398" s="52"/>
      <c r="M398" s="55" t="str">
        <f t="shared" ca="1" si="57"/>
        <v/>
      </c>
      <c r="N398" s="55" t="str">
        <f t="shared" ca="1" si="72"/>
        <v/>
      </c>
    </row>
    <row r="399" spans="1:14" x14ac:dyDescent="0.3">
      <c r="A399" s="105">
        <v>409</v>
      </c>
      <c r="B399" s="52" t="str">
        <f>VLOOKUP( $A399, Aop!$A$2:$P$453, 2, 0)</f>
        <v>Aneks</v>
      </c>
      <c r="C399" s="55">
        <v>28</v>
      </c>
      <c r="D399" s="52" t="str">
        <f t="shared" si="68"/>
        <v>01755633</v>
      </c>
      <c r="E399" s="52" t="str">
        <f t="shared" si="69"/>
        <v>4400228130004</v>
      </c>
      <c r="F399" s="52" t="b">
        <f t="shared" si="70"/>
        <v>0</v>
      </c>
      <c r="G399" s="224">
        <f t="shared" si="66"/>
        <v>44926</v>
      </c>
      <c r="H399" s="52">
        <f>VLOOKUP( $A399, Aop!$A$2:$P$453, 4, 0)</f>
        <v>658</v>
      </c>
      <c r="I399" s="52">
        <f t="shared" si="71"/>
        <v>2022</v>
      </c>
      <c r="J399" s="55"/>
      <c r="K399" s="52"/>
      <c r="L399" s="52"/>
      <c r="M399" s="55">
        <f t="shared" ca="1" si="57"/>
        <v>522658</v>
      </c>
      <c r="N399" s="55">
        <f t="shared" ca="1" si="72"/>
        <v>686156</v>
      </c>
    </row>
    <row r="400" spans="1:14" x14ac:dyDescent="0.3">
      <c r="A400" s="105">
        <v>410</v>
      </c>
      <c r="B400" s="52" t="str">
        <f>VLOOKUP( $A400, Aop!$A$2:$P$453, 2, 0)</f>
        <v>Aneks</v>
      </c>
      <c r="C400" s="55">
        <v>28</v>
      </c>
      <c r="D400" s="52" t="str">
        <f t="shared" si="68"/>
        <v>01755633</v>
      </c>
      <c r="E400" s="52" t="str">
        <f t="shared" si="69"/>
        <v>4400228130004</v>
      </c>
      <c r="F400" s="52" t="b">
        <f t="shared" si="70"/>
        <v>0</v>
      </c>
      <c r="G400" s="224">
        <f t="shared" si="66"/>
        <v>44926</v>
      </c>
      <c r="H400" s="52">
        <f>VLOOKUP( $A400, Aop!$A$2:$P$453, 4, 0)</f>
        <v>659</v>
      </c>
      <c r="I400" s="52">
        <f t="shared" si="71"/>
        <v>2022</v>
      </c>
      <c r="J400" s="55"/>
      <c r="K400" s="52"/>
      <c r="L400" s="52"/>
      <c r="M400" s="55">
        <f t="shared" ca="1" si="57"/>
        <v>460787</v>
      </c>
      <c r="N400" s="55">
        <f t="shared" ca="1" si="72"/>
        <v>491571</v>
      </c>
    </row>
    <row r="401" spans="1:14" x14ac:dyDescent="0.3">
      <c r="A401" s="105">
        <v>411</v>
      </c>
      <c r="B401" s="52" t="str">
        <f>VLOOKUP( $A401, Aop!$A$2:$P$453, 2, 0)</f>
        <v>Aneks</v>
      </c>
      <c r="C401" s="55">
        <v>28</v>
      </c>
      <c r="D401" s="52" t="str">
        <f t="shared" si="68"/>
        <v>01755633</v>
      </c>
      <c r="E401" s="52" t="str">
        <f t="shared" si="69"/>
        <v>4400228130004</v>
      </c>
      <c r="F401" s="52" t="b">
        <f t="shared" si="70"/>
        <v>0</v>
      </c>
      <c r="G401" s="224">
        <f t="shared" si="66"/>
        <v>44926</v>
      </c>
      <c r="H401" s="52">
        <f>VLOOKUP( $A401, Aop!$A$2:$P$453, 4, 0)</f>
        <v>660</v>
      </c>
      <c r="I401" s="52">
        <f t="shared" si="71"/>
        <v>2022</v>
      </c>
      <c r="J401" s="55"/>
      <c r="K401" s="52"/>
      <c r="L401" s="52"/>
      <c r="M401" s="55">
        <f t="shared" ca="1" si="57"/>
        <v>5275</v>
      </c>
      <c r="N401" s="55">
        <f t="shared" ca="1" si="72"/>
        <v>16177</v>
      </c>
    </row>
    <row r="402" spans="1:14" x14ac:dyDescent="0.3">
      <c r="A402" s="105">
        <v>412</v>
      </c>
      <c r="B402" s="52" t="str">
        <f>VLOOKUP( $A402, Aop!$A$2:$P$453, 2, 0)</f>
        <v>Aneks</v>
      </c>
      <c r="C402" s="55">
        <v>28</v>
      </c>
      <c r="D402" s="52" t="str">
        <f t="shared" si="68"/>
        <v>01755633</v>
      </c>
      <c r="E402" s="52" t="str">
        <f t="shared" si="69"/>
        <v>4400228130004</v>
      </c>
      <c r="F402" s="52" t="b">
        <f t="shared" si="70"/>
        <v>0</v>
      </c>
      <c r="G402" s="224">
        <f t="shared" si="66"/>
        <v>44926</v>
      </c>
      <c r="H402" s="52">
        <f>VLOOKUP( $A402, Aop!$A$2:$P$453, 4, 0)</f>
        <v>661</v>
      </c>
      <c r="I402" s="52">
        <f t="shared" si="71"/>
        <v>2022</v>
      </c>
      <c r="J402" s="55"/>
      <c r="K402" s="52"/>
      <c r="L402" s="52"/>
      <c r="M402" s="55">
        <f t="shared" ca="1" si="57"/>
        <v>0</v>
      </c>
      <c r="N402" s="55" t="str">
        <f t="shared" ca="1" si="72"/>
        <v/>
      </c>
    </row>
    <row r="403" spans="1:14" x14ac:dyDescent="0.3">
      <c r="A403" s="105">
        <v>413</v>
      </c>
      <c r="B403" s="52" t="str">
        <f>VLOOKUP( $A403, Aop!$A$2:$P$453, 2, 0)</f>
        <v>Aneks</v>
      </c>
      <c r="C403" s="55">
        <v>28</v>
      </c>
      <c r="D403" s="52" t="str">
        <f t="shared" si="68"/>
        <v>01755633</v>
      </c>
      <c r="E403" s="52" t="str">
        <f t="shared" si="69"/>
        <v>4400228130004</v>
      </c>
      <c r="F403" s="52" t="b">
        <f t="shared" si="70"/>
        <v>0</v>
      </c>
      <c r="G403" s="224">
        <f t="shared" si="66"/>
        <v>44926</v>
      </c>
      <c r="H403" s="52">
        <f>VLOOKUP( $A403, Aop!$A$2:$P$453, 4, 0)</f>
        <v>662</v>
      </c>
      <c r="I403" s="52">
        <f t="shared" si="71"/>
        <v>2022</v>
      </c>
      <c r="J403" s="55"/>
      <c r="K403" s="52"/>
      <c r="L403" s="52"/>
      <c r="M403" s="55">
        <f t="shared" ca="1" si="57"/>
        <v>115545</v>
      </c>
      <c r="N403" s="55">
        <f t="shared" ca="1" si="72"/>
        <v>110718</v>
      </c>
    </row>
    <row r="404" spans="1:14" x14ac:dyDescent="0.3">
      <c r="A404" s="105">
        <v>414</v>
      </c>
      <c r="B404" s="52" t="str">
        <f>VLOOKUP( $A404, Aop!$A$2:$P$453, 2, 0)</f>
        <v>Aneks</v>
      </c>
      <c r="C404" s="55">
        <v>28</v>
      </c>
      <c r="D404" s="52" t="str">
        <f t="shared" si="68"/>
        <v>01755633</v>
      </c>
      <c r="E404" s="52" t="str">
        <f t="shared" si="69"/>
        <v>4400228130004</v>
      </c>
      <c r="F404" s="52" t="b">
        <f t="shared" si="70"/>
        <v>0</v>
      </c>
      <c r="G404" s="224">
        <f t="shared" si="66"/>
        <v>44926</v>
      </c>
      <c r="H404" s="52">
        <f>VLOOKUP( $A404, Aop!$A$2:$P$453, 4, 0)</f>
        <v>663</v>
      </c>
      <c r="I404" s="52">
        <f t="shared" si="71"/>
        <v>2022</v>
      </c>
      <c r="J404" s="55"/>
      <c r="K404" s="52"/>
      <c r="L404" s="52"/>
      <c r="M404" s="55">
        <f t="shared" ca="1" si="57"/>
        <v>115545</v>
      </c>
      <c r="N404" s="55">
        <f t="shared" ca="1" si="72"/>
        <v>110718</v>
      </c>
    </row>
    <row r="405" spans="1:14" x14ac:dyDescent="0.3">
      <c r="A405" s="105">
        <v>415</v>
      </c>
      <c r="B405" s="52" t="str">
        <f>VLOOKUP( $A405, Aop!$A$2:$P$453, 2, 0)</f>
        <v>Aneks</v>
      </c>
      <c r="C405" s="55">
        <v>28</v>
      </c>
      <c r="D405" s="52" t="str">
        <f t="shared" si="68"/>
        <v>01755633</v>
      </c>
      <c r="E405" s="52" t="str">
        <f t="shared" si="69"/>
        <v>4400228130004</v>
      </c>
      <c r="F405" s="52" t="b">
        <f t="shared" si="70"/>
        <v>0</v>
      </c>
      <c r="G405" s="224">
        <f t="shared" si="66"/>
        <v>44926</v>
      </c>
      <c r="H405" s="52">
        <f>VLOOKUP( $A405, Aop!$A$2:$P$453, 4, 0)</f>
        <v>664</v>
      </c>
      <c r="I405" s="52">
        <f t="shared" si="71"/>
        <v>2022</v>
      </c>
      <c r="J405" s="55"/>
      <c r="K405" s="52"/>
      <c r="L405" s="52"/>
      <c r="M405" s="55" t="str">
        <f t="shared" ca="1" si="57"/>
        <v/>
      </c>
      <c r="N405" s="55" t="str">
        <f t="shared" ca="1" si="72"/>
        <v/>
      </c>
    </row>
    <row r="406" spans="1:14" x14ac:dyDescent="0.3">
      <c r="A406" s="105">
        <v>416</v>
      </c>
      <c r="B406" s="52" t="str">
        <f>VLOOKUP( $A406, Aop!$A$2:$P$453, 2, 0)</f>
        <v>Aneks</v>
      </c>
      <c r="C406" s="55">
        <v>28</v>
      </c>
      <c r="D406" s="52" t="str">
        <f t="shared" si="68"/>
        <v>01755633</v>
      </c>
      <c r="E406" s="52" t="str">
        <f t="shared" si="69"/>
        <v>4400228130004</v>
      </c>
      <c r="F406" s="52" t="b">
        <f t="shared" si="70"/>
        <v>0</v>
      </c>
      <c r="G406" s="224">
        <f t="shared" si="66"/>
        <v>44926</v>
      </c>
      <c r="H406" s="52">
        <f>VLOOKUP( $A406, Aop!$A$2:$P$453, 4, 0)</f>
        <v>665</v>
      </c>
      <c r="I406" s="52">
        <f t="shared" si="71"/>
        <v>2022</v>
      </c>
      <c r="J406" s="55"/>
      <c r="K406" s="52"/>
      <c r="L406" s="52"/>
      <c r="M406" s="55" t="str">
        <f t="shared" ca="1" si="57"/>
        <v/>
      </c>
      <c r="N406" s="55" t="str">
        <f t="shared" ca="1" si="72"/>
        <v/>
      </c>
    </row>
    <row r="407" spans="1:14" x14ac:dyDescent="0.3">
      <c r="A407" s="105">
        <v>417</v>
      </c>
      <c r="B407" s="52" t="str">
        <f>VLOOKUP( $A407, Aop!$A$2:$P$453, 2, 0)</f>
        <v>Aneks</v>
      </c>
      <c r="C407" s="55">
        <v>28</v>
      </c>
      <c r="D407" s="52" t="str">
        <f t="shared" si="68"/>
        <v>01755633</v>
      </c>
      <c r="E407" s="52" t="str">
        <f t="shared" si="69"/>
        <v>4400228130004</v>
      </c>
      <c r="F407" s="52" t="b">
        <f t="shared" si="70"/>
        <v>0</v>
      </c>
      <c r="G407" s="224">
        <f t="shared" si="66"/>
        <v>44926</v>
      </c>
      <c r="H407" s="52">
        <f>VLOOKUP( $A407, Aop!$A$2:$P$453, 4, 0)</f>
        <v>666</v>
      </c>
      <c r="I407" s="52">
        <f t="shared" si="71"/>
        <v>2022</v>
      </c>
      <c r="J407" s="55"/>
      <c r="K407" s="52"/>
      <c r="L407" s="52"/>
      <c r="M407" s="55" t="str">
        <f t="shared" ca="1" si="57"/>
        <v/>
      </c>
      <c r="N407" s="55" t="str">
        <f t="shared" ca="1" si="72"/>
        <v/>
      </c>
    </row>
    <row r="408" spans="1:14" x14ac:dyDescent="0.3">
      <c r="A408" s="105">
        <v>418</v>
      </c>
      <c r="B408" s="52" t="str">
        <f>VLOOKUP( $A408, Aop!$A$2:$P$453, 2, 0)</f>
        <v>Aneks</v>
      </c>
      <c r="C408" s="55">
        <v>28</v>
      </c>
      <c r="D408" s="52" t="str">
        <f t="shared" si="68"/>
        <v>01755633</v>
      </c>
      <c r="E408" s="52" t="str">
        <f t="shared" si="69"/>
        <v>4400228130004</v>
      </c>
      <c r="F408" s="52" t="b">
        <f t="shared" si="70"/>
        <v>0</v>
      </c>
      <c r="G408" s="224">
        <f t="shared" si="66"/>
        <v>44926</v>
      </c>
      <c r="H408" s="52">
        <f>VLOOKUP( $A408, Aop!$A$2:$P$453, 4, 0)</f>
        <v>667</v>
      </c>
      <c r="I408" s="52">
        <f t="shared" si="71"/>
        <v>2022</v>
      </c>
      <c r="J408" s="55"/>
      <c r="K408" s="52"/>
      <c r="L408" s="52"/>
      <c r="M408" s="55">
        <f t="shared" ref="M408" ca="1" si="73">IF( VLOOKUP( $H408, INDIRECT( "Lookup_" &amp; $B408), IF( LEFT( $B408, 2) = "BS", R$2, R$1), 0) = "", "", VLOOKUP( $H408, INDIRECT( "Lookup_" &amp; $B408), IF( LEFT( $B408, 2) = "BS", R$2, R$1), 0))</f>
        <v>28987</v>
      </c>
      <c r="N408" s="55">
        <f t="shared" ca="1" si="72"/>
        <v>26818</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3.8" x14ac:dyDescent="0.3"/>
  <cols>
    <col min="1" max="1" width="4.6640625" customWidth="1"/>
    <col min="3" max="4" width="24.109375" customWidth="1"/>
    <col min="5" max="5" width="12.88671875" customWidth="1"/>
    <col min="6" max="6" width="9" customWidth="1"/>
    <col min="7" max="7" width="11" customWidth="1"/>
    <col min="8" max="8" width="10.88671875" customWidth="1"/>
    <col min="9" max="9" width="17.6640625" customWidth="1"/>
    <col min="10" max="17" width="11" customWidth="1"/>
  </cols>
  <sheetData>
    <row r="1" spans="1:19" ht="14.4" thickBot="1" x14ac:dyDescent="0.3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4.4" thickTop="1" x14ac:dyDescent="0.3">
      <c r="A2" s="106">
        <v>419</v>
      </c>
      <c r="B2" s="107" t="str">
        <f>VLOOKUP( $A2, Aop!$A$2:$P$453, 2, 0)</f>
        <v>BPK</v>
      </c>
      <c r="C2" s="55" t="str">
        <f t="shared" ref="C2:C20" si="0">Podatak_MB</f>
        <v>01755633</v>
      </c>
      <c r="D2" s="55" t="str">
        <f t="shared" ref="D2:D20" si="1">Podatak_JIB</f>
        <v>4400228130004</v>
      </c>
      <c r="E2" s="55" t="b">
        <f t="shared" ref="E2:E20" si="2">Konsolidovan_izvjestaj</f>
        <v>0</v>
      </c>
      <c r="F2" s="11">
        <f>VLOOKUP( $A2, Aop!$A$2:$P$453, 4, 0)</f>
        <v>0</v>
      </c>
      <c r="G2" s="55">
        <f t="shared" ref="G2:G20" si="3">Godina</f>
        <v>2022</v>
      </c>
      <c r="H2" s="139">
        <f t="shared" ref="H2:H20" si="4">Datum_Broj</f>
        <v>44926</v>
      </c>
      <c r="I2" s="55">
        <v>30</v>
      </c>
      <c r="J2" s="52" t="s">
        <v>786</v>
      </c>
      <c r="K2" s="52" t="s">
        <v>786</v>
      </c>
      <c r="L2" s="52" t="s">
        <v>786</v>
      </c>
      <c r="M2" s="52" t="s">
        <v>786</v>
      </c>
      <c r="N2" s="52" t="s">
        <v>786</v>
      </c>
      <c r="O2" s="52" t="s">
        <v>786</v>
      </c>
      <c r="P2" s="52" t="s">
        <v>786</v>
      </c>
      <c r="Q2" s="52" t="s">
        <v>786</v>
      </c>
      <c r="R2" s="52" t="s">
        <v>786</v>
      </c>
      <c r="S2" s="52" t="s">
        <v>786</v>
      </c>
    </row>
    <row r="3" spans="1:19" x14ac:dyDescent="0.3">
      <c r="A3" s="106">
        <v>420</v>
      </c>
      <c r="B3" s="107" t="str">
        <f>VLOOKUP( $A3, Aop!$A$2:$P$453, 2, 0)</f>
        <v>BPK</v>
      </c>
      <c r="C3" s="55" t="str">
        <f t="shared" si="0"/>
        <v>01755633</v>
      </c>
      <c r="D3" s="55" t="str">
        <f t="shared" si="1"/>
        <v>4400228130004</v>
      </c>
      <c r="E3" s="55" t="b">
        <f t="shared" si="2"/>
        <v>0</v>
      </c>
      <c r="F3" s="11">
        <f>VLOOKUP( $A3, Aop!$A$2:$P$453, 4, 0)</f>
        <v>901</v>
      </c>
      <c r="G3" s="55">
        <f t="shared" si="3"/>
        <v>2022</v>
      </c>
      <c r="H3" s="139">
        <f t="shared" si="4"/>
        <v>44926</v>
      </c>
      <c r="I3" s="55">
        <v>30</v>
      </c>
      <c r="J3" s="52">
        <f t="shared" ref="J3:S19" ca="1" si="5">IF(VLOOKUP($F3,INDIRECT("Lookup_"&amp;$B3),J$1-1,0)="","",VLOOKUP($F3,INDIRECT("Lookup_"&amp;$B3),J$1-1,0))</f>
        <v>1177999</v>
      </c>
      <c r="K3" s="52" t="str">
        <f t="shared" ca="1" si="5"/>
        <v/>
      </c>
      <c r="L3" s="52">
        <f t="shared" ca="1" si="5"/>
        <v>1849561</v>
      </c>
      <c r="M3" s="52" t="str">
        <f t="shared" ca="1" si="5"/>
        <v/>
      </c>
      <c r="N3" s="52" t="str">
        <f t="shared" ca="1" si="5"/>
        <v/>
      </c>
      <c r="O3" s="52">
        <f t="shared" ca="1" si="5"/>
        <v>837465</v>
      </c>
      <c r="P3" s="52">
        <f t="shared" ca="1" si="5"/>
        <v>-327712</v>
      </c>
      <c r="Q3" s="52">
        <f t="shared" ca="1" si="5"/>
        <v>3537313</v>
      </c>
      <c r="R3" s="52" t="str">
        <f t="shared" ca="1" si="5"/>
        <v/>
      </c>
      <c r="S3" s="52">
        <f t="shared" ca="1" si="5"/>
        <v>3537313</v>
      </c>
    </row>
    <row r="4" spans="1:19" x14ac:dyDescent="0.3">
      <c r="A4" s="106">
        <v>421</v>
      </c>
      <c r="B4" s="107" t="str">
        <f>VLOOKUP( $A4, Aop!$A$2:$P$453, 2, 0)</f>
        <v>BPK</v>
      </c>
      <c r="C4" s="55" t="str">
        <f t="shared" si="0"/>
        <v>01755633</v>
      </c>
      <c r="D4" s="55" t="str">
        <f t="shared" si="1"/>
        <v>4400228130004</v>
      </c>
      <c r="E4" s="55" t="b">
        <f t="shared" si="2"/>
        <v>0</v>
      </c>
      <c r="F4" s="11">
        <f>VLOOKUP( $A4, Aop!$A$2:$P$453, 4, 0)</f>
        <v>0</v>
      </c>
      <c r="G4" s="55">
        <f t="shared" si="3"/>
        <v>2022</v>
      </c>
      <c r="H4" s="139">
        <f t="shared" si="4"/>
        <v>44926</v>
      </c>
      <c r="I4" s="55">
        <v>30</v>
      </c>
      <c r="J4" s="52" t="s">
        <v>786</v>
      </c>
      <c r="K4" s="52" t="s">
        <v>786</v>
      </c>
      <c r="L4" s="52" t="s">
        <v>786</v>
      </c>
      <c r="M4" s="52" t="s">
        <v>786</v>
      </c>
      <c r="N4" s="52" t="s">
        <v>786</v>
      </c>
      <c r="O4" s="52" t="s">
        <v>786</v>
      </c>
      <c r="P4" s="52" t="s">
        <v>786</v>
      </c>
      <c r="Q4" s="52" t="s">
        <v>786</v>
      </c>
      <c r="R4" s="52" t="s">
        <v>786</v>
      </c>
      <c r="S4" s="52" t="s">
        <v>786</v>
      </c>
    </row>
    <row r="5" spans="1:19" x14ac:dyDescent="0.3">
      <c r="A5" s="106">
        <v>422</v>
      </c>
      <c r="B5" s="107" t="str">
        <f>VLOOKUP( $A5, Aop!$A$2:$P$453, 2, 0)</f>
        <v>BPK</v>
      </c>
      <c r="C5" s="55" t="str">
        <f t="shared" si="0"/>
        <v>01755633</v>
      </c>
      <c r="D5" s="55" t="str">
        <f t="shared" si="1"/>
        <v>4400228130004</v>
      </c>
      <c r="E5" s="55" t="b">
        <f t="shared" si="2"/>
        <v>0</v>
      </c>
      <c r="F5" s="11">
        <f>VLOOKUP( $A5, Aop!$A$2:$P$453, 4, 0)</f>
        <v>902</v>
      </c>
      <c r="G5" s="55">
        <f t="shared" si="3"/>
        <v>2022</v>
      </c>
      <c r="H5" s="139">
        <f t="shared" si="4"/>
        <v>44926</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3">
      <c r="A6" s="106">
        <v>423</v>
      </c>
      <c r="B6" s="107" t="str">
        <f>VLOOKUP( $A6, Aop!$A$2:$P$453, 2, 0)</f>
        <v>BPK</v>
      </c>
      <c r="C6" s="55" t="str">
        <f t="shared" si="0"/>
        <v>01755633</v>
      </c>
      <c r="D6" s="55" t="str">
        <f t="shared" si="1"/>
        <v>4400228130004</v>
      </c>
      <c r="E6" s="55" t="b">
        <f t="shared" si="2"/>
        <v>0</v>
      </c>
      <c r="F6" s="11">
        <f>VLOOKUP( $A6, Aop!$A$2:$P$453, 4, 0)</f>
        <v>903</v>
      </c>
      <c r="G6" s="55">
        <f t="shared" si="3"/>
        <v>2022</v>
      </c>
      <c r="H6" s="139">
        <f t="shared" si="4"/>
        <v>44926</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3">
      <c r="A7" s="106">
        <v>424</v>
      </c>
      <c r="B7" s="107" t="str">
        <f>VLOOKUP( $A7, Aop!$A$2:$P$453, 2, 0)</f>
        <v>BPK</v>
      </c>
      <c r="C7" s="55" t="str">
        <f t="shared" si="0"/>
        <v>01755633</v>
      </c>
      <c r="D7" s="55" t="str">
        <f t="shared" si="1"/>
        <v>4400228130004</v>
      </c>
      <c r="E7" s="55" t="b">
        <f t="shared" si="2"/>
        <v>0</v>
      </c>
      <c r="F7" s="11">
        <f>VLOOKUP( $A7, Aop!$A$2:$P$453, 4, 0)</f>
        <v>904</v>
      </c>
      <c r="G7" s="55">
        <f t="shared" si="3"/>
        <v>2022</v>
      </c>
      <c r="H7" s="139">
        <f t="shared" si="4"/>
        <v>44926</v>
      </c>
      <c r="I7" s="55">
        <v>30</v>
      </c>
      <c r="J7" s="52">
        <f t="shared" ca="1" si="5"/>
        <v>1177999</v>
      </c>
      <c r="K7" s="52">
        <f t="shared" ca="1" si="5"/>
        <v>0</v>
      </c>
      <c r="L7" s="52">
        <f t="shared" ca="1" si="5"/>
        <v>1849561</v>
      </c>
      <c r="M7" s="52">
        <f t="shared" ca="1" si="5"/>
        <v>0</v>
      </c>
      <c r="N7" s="52">
        <f t="shared" ca="1" si="5"/>
        <v>0</v>
      </c>
      <c r="O7" s="52">
        <f t="shared" ca="1" si="5"/>
        <v>837465</v>
      </c>
      <c r="P7" s="52">
        <f t="shared" ca="1" si="5"/>
        <v>-327712</v>
      </c>
      <c r="Q7" s="52">
        <f t="shared" ca="1" si="5"/>
        <v>3537313</v>
      </c>
      <c r="R7" s="52">
        <f t="shared" ca="1" si="5"/>
        <v>0</v>
      </c>
      <c r="S7" s="52">
        <f t="shared" ca="1" si="5"/>
        <v>3537313</v>
      </c>
    </row>
    <row r="8" spans="1:19" x14ac:dyDescent="0.3">
      <c r="A8" s="106">
        <v>425</v>
      </c>
      <c r="B8" s="107" t="str">
        <f>VLOOKUP( $A8, Aop!$A$2:$P$453, 2, 0)</f>
        <v>BPK</v>
      </c>
      <c r="C8" s="55" t="str">
        <f t="shared" si="0"/>
        <v>01755633</v>
      </c>
      <c r="D8" s="55" t="str">
        <f t="shared" si="1"/>
        <v>4400228130004</v>
      </c>
      <c r="E8" s="55" t="b">
        <f t="shared" si="2"/>
        <v>0</v>
      </c>
      <c r="F8" s="11">
        <f>VLOOKUP( $A8, Aop!$A$2:$P$453, 4, 0)</f>
        <v>0</v>
      </c>
      <c r="G8" s="55">
        <f t="shared" si="3"/>
        <v>2022</v>
      </c>
      <c r="H8" s="139">
        <f t="shared" si="4"/>
        <v>44926</v>
      </c>
      <c r="I8" s="55">
        <v>30</v>
      </c>
      <c r="J8" s="52" t="s">
        <v>786</v>
      </c>
      <c r="K8" s="52" t="s">
        <v>786</v>
      </c>
      <c r="L8" s="52" t="s">
        <v>786</v>
      </c>
      <c r="M8" s="52" t="s">
        <v>786</v>
      </c>
      <c r="N8" s="52" t="s">
        <v>786</v>
      </c>
      <c r="O8" s="52" t="s">
        <v>786</v>
      </c>
      <c r="P8" s="52" t="s">
        <v>786</v>
      </c>
      <c r="Q8" s="52" t="s">
        <v>786</v>
      </c>
      <c r="R8" s="52" t="s">
        <v>786</v>
      </c>
      <c r="S8" s="52" t="s">
        <v>786</v>
      </c>
    </row>
    <row r="9" spans="1:19" x14ac:dyDescent="0.3">
      <c r="A9" s="106">
        <v>426</v>
      </c>
      <c r="B9" s="107" t="str">
        <f>VLOOKUP( $A9, Aop!$A$2:$P$453, 2, 0)</f>
        <v>BPK</v>
      </c>
      <c r="C9" s="55" t="str">
        <f t="shared" si="0"/>
        <v>01755633</v>
      </c>
      <c r="D9" s="55" t="str">
        <f t="shared" si="1"/>
        <v>4400228130004</v>
      </c>
      <c r="E9" s="55" t="b">
        <f t="shared" si="2"/>
        <v>0</v>
      </c>
      <c r="F9" s="11">
        <f>VLOOKUP( $A9, Aop!$A$2:$P$453, 4, 0)</f>
        <v>905</v>
      </c>
      <c r="G9" s="55">
        <f t="shared" si="3"/>
        <v>2022</v>
      </c>
      <c r="H9" s="139">
        <f t="shared" si="4"/>
        <v>44926</v>
      </c>
      <c r="I9" s="55">
        <v>30</v>
      </c>
      <c r="J9" s="52" t="str">
        <f t="shared" ca="1" si="5"/>
        <v/>
      </c>
      <c r="K9" s="52" t="str">
        <f t="shared" ca="1" si="5"/>
        <v/>
      </c>
      <c r="L9" s="52" t="str">
        <f t="shared" ca="1" si="5"/>
        <v/>
      </c>
      <c r="M9" s="52" t="str">
        <f t="shared" ca="1" si="5"/>
        <v/>
      </c>
      <c r="N9" s="52" t="str">
        <f t="shared" ca="1" si="5"/>
        <v/>
      </c>
      <c r="O9" s="52" t="str">
        <f t="shared" ca="1" si="5"/>
        <v/>
      </c>
      <c r="P9" s="52">
        <f t="shared" ca="1" si="5"/>
        <v>733165</v>
      </c>
      <c r="Q9" s="52">
        <f t="shared" ca="1" si="5"/>
        <v>733165</v>
      </c>
      <c r="R9" s="52" t="str">
        <f t="shared" ca="1" si="5"/>
        <v/>
      </c>
      <c r="S9" s="52">
        <f t="shared" ca="1" si="5"/>
        <v>733165</v>
      </c>
    </row>
    <row r="10" spans="1:19" x14ac:dyDescent="0.3">
      <c r="A10" s="106">
        <v>427</v>
      </c>
      <c r="B10" s="107" t="str">
        <f>VLOOKUP( $A10, Aop!$A$2:$P$453, 2, 0)</f>
        <v>BPK</v>
      </c>
      <c r="C10" s="55" t="str">
        <f t="shared" si="0"/>
        <v>01755633</v>
      </c>
      <c r="D10" s="55" t="str">
        <f t="shared" si="1"/>
        <v>4400228130004</v>
      </c>
      <c r="E10" s="55" t="b">
        <f t="shared" si="2"/>
        <v>0</v>
      </c>
      <c r="F10" s="11">
        <f>VLOOKUP( $A10, Aop!$A$2:$P$453, 4, 0)</f>
        <v>906</v>
      </c>
      <c r="G10" s="55">
        <f t="shared" si="3"/>
        <v>2022</v>
      </c>
      <c r="H10" s="139">
        <f t="shared" si="4"/>
        <v>44926</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3">
      <c r="A11" s="106">
        <v>428</v>
      </c>
      <c r="B11" s="107" t="str">
        <f>VLOOKUP( $A11, Aop!$A$2:$P$453, 2, 0)</f>
        <v>BPK</v>
      </c>
      <c r="C11" s="55" t="str">
        <f t="shared" si="0"/>
        <v>01755633</v>
      </c>
      <c r="D11" s="55" t="str">
        <f t="shared" si="1"/>
        <v>4400228130004</v>
      </c>
      <c r="E11" s="55" t="b">
        <f t="shared" si="2"/>
        <v>0</v>
      </c>
      <c r="F11" s="11">
        <f>VLOOKUP( $A11, Aop!$A$2:$P$453, 4, 0)</f>
        <v>907</v>
      </c>
      <c r="G11" s="55">
        <f t="shared" si="3"/>
        <v>2022</v>
      </c>
      <c r="H11" s="139">
        <f t="shared" si="4"/>
        <v>44926</v>
      </c>
      <c r="I11" s="55">
        <v>30</v>
      </c>
      <c r="J11" s="52">
        <f t="shared" ca="1" si="5"/>
        <v>0</v>
      </c>
      <c r="K11" s="52">
        <f t="shared" ca="1" si="5"/>
        <v>0</v>
      </c>
      <c r="L11" s="52">
        <f t="shared" ca="1" si="5"/>
        <v>0</v>
      </c>
      <c r="M11" s="52">
        <f t="shared" ca="1" si="5"/>
        <v>0</v>
      </c>
      <c r="N11" s="52">
        <f t="shared" ca="1" si="5"/>
        <v>0</v>
      </c>
      <c r="O11" s="52">
        <f t="shared" ca="1" si="5"/>
        <v>0</v>
      </c>
      <c r="P11" s="52">
        <f t="shared" ca="1" si="5"/>
        <v>733165</v>
      </c>
      <c r="Q11" s="52">
        <f t="shared" ca="1" si="5"/>
        <v>733165</v>
      </c>
      <c r="R11" s="52">
        <f t="shared" ca="1" si="5"/>
        <v>0</v>
      </c>
      <c r="S11" s="52">
        <f t="shared" ca="1" si="5"/>
        <v>733165</v>
      </c>
    </row>
    <row r="12" spans="1:19" x14ac:dyDescent="0.3">
      <c r="A12" s="106">
        <v>429</v>
      </c>
      <c r="B12" s="107" t="str">
        <f>VLOOKUP( $A12, Aop!$A$2:$P$453, 2, 0)</f>
        <v>BPK</v>
      </c>
      <c r="C12" s="55" t="str">
        <f t="shared" si="0"/>
        <v>01755633</v>
      </c>
      <c r="D12" s="55" t="str">
        <f t="shared" si="1"/>
        <v>4400228130004</v>
      </c>
      <c r="E12" s="55" t="b">
        <f t="shared" si="2"/>
        <v>0</v>
      </c>
      <c r="F12" s="11">
        <f>VLOOKUP( $A12, Aop!$A$2:$P$453, 4, 0)</f>
        <v>0</v>
      </c>
      <c r="G12" s="55">
        <f t="shared" si="3"/>
        <v>2022</v>
      </c>
      <c r="H12" s="139">
        <f t="shared" si="4"/>
        <v>44926</v>
      </c>
      <c r="I12" s="55">
        <v>30</v>
      </c>
      <c r="J12" s="52" t="s">
        <v>786</v>
      </c>
      <c r="K12" s="52" t="s">
        <v>786</v>
      </c>
      <c r="L12" s="52" t="s">
        <v>786</v>
      </c>
      <c r="M12" s="52" t="s">
        <v>786</v>
      </c>
      <c r="N12" s="52" t="s">
        <v>786</v>
      </c>
      <c r="O12" s="52" t="s">
        <v>786</v>
      </c>
      <c r="P12" s="52" t="s">
        <v>786</v>
      </c>
      <c r="Q12" s="52" t="s">
        <v>786</v>
      </c>
      <c r="R12" s="52" t="s">
        <v>786</v>
      </c>
      <c r="S12" s="52" t="s">
        <v>786</v>
      </c>
    </row>
    <row r="13" spans="1:19" x14ac:dyDescent="0.3">
      <c r="A13" s="106">
        <v>430</v>
      </c>
      <c r="B13" s="107" t="str">
        <f>VLOOKUP( $A13, Aop!$A$2:$P$453, 2, 0)</f>
        <v>BPK</v>
      </c>
      <c r="C13" s="55" t="str">
        <f t="shared" si="0"/>
        <v>01755633</v>
      </c>
      <c r="D13" s="55" t="str">
        <f t="shared" si="1"/>
        <v>4400228130004</v>
      </c>
      <c r="E13" s="55" t="b">
        <f t="shared" si="2"/>
        <v>0</v>
      </c>
      <c r="F13" s="11">
        <f>VLOOKUP( $A13, Aop!$A$2:$P$453, 4, 0)</f>
        <v>908</v>
      </c>
      <c r="G13" s="55">
        <f t="shared" si="3"/>
        <v>2022</v>
      </c>
      <c r="H13" s="139">
        <f t="shared" si="4"/>
        <v>44926</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3">
      <c r="A14" s="106">
        <v>431</v>
      </c>
      <c r="B14" s="107" t="str">
        <f>VLOOKUP( $A14, Aop!$A$2:$P$453, 2, 0)</f>
        <v>BPK</v>
      </c>
      <c r="C14" s="55" t="str">
        <f t="shared" si="0"/>
        <v>01755633</v>
      </c>
      <c r="D14" s="55" t="str">
        <f t="shared" si="1"/>
        <v>4400228130004</v>
      </c>
      <c r="E14" s="55" t="b">
        <f t="shared" si="2"/>
        <v>0</v>
      </c>
      <c r="F14" s="11">
        <f>VLOOKUP( $A14, Aop!$A$2:$P$453, 4, 0)</f>
        <v>909</v>
      </c>
      <c r="G14" s="55">
        <f t="shared" si="3"/>
        <v>2022</v>
      </c>
      <c r="H14" s="139">
        <f t="shared" si="4"/>
        <v>44926</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3">
      <c r="A15" s="106">
        <v>432</v>
      </c>
      <c r="B15" s="107" t="str">
        <f>VLOOKUP( $A15, Aop!$A$2:$P$453, 2, 0)</f>
        <v>BPK</v>
      </c>
      <c r="C15" s="55" t="str">
        <f t="shared" si="0"/>
        <v>01755633</v>
      </c>
      <c r="D15" s="55" t="str">
        <f t="shared" si="1"/>
        <v>4400228130004</v>
      </c>
      <c r="E15" s="55" t="b">
        <f t="shared" si="2"/>
        <v>0</v>
      </c>
      <c r="F15" s="11">
        <f>VLOOKUP( $A15, Aop!$A$2:$P$453, 4, 0)</f>
        <v>910</v>
      </c>
      <c r="G15" s="55">
        <f t="shared" si="3"/>
        <v>2022</v>
      </c>
      <c r="H15" s="139">
        <f t="shared" si="4"/>
        <v>44926</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3">
      <c r="A16" s="106">
        <v>433</v>
      </c>
      <c r="B16" s="107" t="str">
        <f>VLOOKUP( $A16, Aop!$A$2:$P$453, 2, 0)</f>
        <v>BPK</v>
      </c>
      <c r="C16" s="55" t="str">
        <f t="shared" si="0"/>
        <v>01755633</v>
      </c>
      <c r="D16" s="55" t="str">
        <f t="shared" si="1"/>
        <v>4400228130004</v>
      </c>
      <c r="E16" s="55" t="b">
        <f t="shared" si="2"/>
        <v>0</v>
      </c>
      <c r="F16" s="11">
        <f>VLOOKUP( $A16, Aop!$A$2:$P$453, 4, 0)</f>
        <v>911</v>
      </c>
      <c r="G16" s="55">
        <f t="shared" si="3"/>
        <v>2022</v>
      </c>
      <c r="H16" s="139">
        <f t="shared" si="4"/>
        <v>44926</v>
      </c>
      <c r="I16" s="55">
        <v>30</v>
      </c>
      <c r="J16" s="52" t="str">
        <f t="shared" ca="1" si="5"/>
        <v/>
      </c>
      <c r="K16" s="52" t="str">
        <f t="shared" ca="1" si="5"/>
        <v/>
      </c>
      <c r="L16" s="52">
        <f t="shared" ca="1" si="5"/>
        <v>-327712</v>
      </c>
      <c r="M16" s="52" t="str">
        <f t="shared" ca="1" si="5"/>
        <v/>
      </c>
      <c r="N16" s="52" t="str">
        <f t="shared" ca="1" si="5"/>
        <v/>
      </c>
      <c r="O16" s="52" t="str">
        <f t="shared" ca="1" si="5"/>
        <v/>
      </c>
      <c r="P16" s="52">
        <f t="shared" ca="1" si="5"/>
        <v>327712</v>
      </c>
      <c r="Q16" s="52">
        <f t="shared" ca="1" si="5"/>
        <v>0</v>
      </c>
      <c r="R16" s="52" t="str">
        <f t="shared" ca="1" si="5"/>
        <v/>
      </c>
      <c r="S16" s="52">
        <f t="shared" ca="1" si="5"/>
        <v>0</v>
      </c>
    </row>
    <row r="17" spans="1:19" x14ac:dyDescent="0.3">
      <c r="A17" s="106">
        <v>434</v>
      </c>
      <c r="B17" s="107" t="str">
        <f>VLOOKUP( $A17, Aop!$A$2:$P$453, 2, 0)</f>
        <v>BPK</v>
      </c>
      <c r="C17" s="55" t="str">
        <f t="shared" si="0"/>
        <v>01755633</v>
      </c>
      <c r="D17" s="55" t="str">
        <f t="shared" si="1"/>
        <v>4400228130004</v>
      </c>
      <c r="E17" s="55" t="b">
        <f t="shared" si="2"/>
        <v>0</v>
      </c>
      <c r="F17" s="11">
        <f>VLOOKUP( $A17, Aop!$A$2:$P$453, 4, 0)</f>
        <v>912</v>
      </c>
      <c r="G17" s="55">
        <f t="shared" si="3"/>
        <v>2022</v>
      </c>
      <c r="H17" s="139">
        <f t="shared" si="4"/>
        <v>44926</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3">
      <c r="A18" s="106">
        <v>435</v>
      </c>
      <c r="B18" s="107" t="str">
        <f>VLOOKUP( $A18, Aop!$A$2:$P$453, 2, 0)</f>
        <v>BPK</v>
      </c>
      <c r="C18" s="55" t="str">
        <f t="shared" si="0"/>
        <v>01755633</v>
      </c>
      <c r="D18" s="55" t="str">
        <f t="shared" si="1"/>
        <v>4400228130004</v>
      </c>
      <c r="E18" s="55" t="b">
        <f t="shared" si="2"/>
        <v>0</v>
      </c>
      <c r="F18" s="11">
        <f>VLOOKUP( $A18, Aop!$A$2:$P$453, 4, 0)</f>
        <v>0</v>
      </c>
      <c r="G18" s="55">
        <f t="shared" si="3"/>
        <v>2022</v>
      </c>
      <c r="H18" s="139">
        <f t="shared" si="4"/>
        <v>44926</v>
      </c>
      <c r="I18" s="55">
        <v>30</v>
      </c>
      <c r="J18" s="52" t="s">
        <v>786</v>
      </c>
      <c r="K18" s="52" t="s">
        <v>786</v>
      </c>
      <c r="L18" s="52" t="s">
        <v>786</v>
      </c>
      <c r="M18" s="52" t="s">
        <v>786</v>
      </c>
      <c r="N18" s="52" t="s">
        <v>786</v>
      </c>
      <c r="O18" s="52" t="s">
        <v>786</v>
      </c>
      <c r="P18" s="52" t="s">
        <v>786</v>
      </c>
      <c r="Q18" s="52" t="s">
        <v>786</v>
      </c>
      <c r="R18" s="52" t="s">
        <v>786</v>
      </c>
      <c r="S18" s="52" t="s">
        <v>786</v>
      </c>
    </row>
    <row r="19" spans="1:19" x14ac:dyDescent="0.3">
      <c r="A19" s="106">
        <v>436</v>
      </c>
      <c r="B19" s="107" t="str">
        <f>VLOOKUP( $A19, Aop!$A$2:$P$453, 2, 0)</f>
        <v>BPK</v>
      </c>
      <c r="C19" s="55" t="str">
        <f t="shared" si="0"/>
        <v>01755633</v>
      </c>
      <c r="D19" s="55" t="str">
        <f t="shared" si="1"/>
        <v>4400228130004</v>
      </c>
      <c r="E19" s="55" t="b">
        <f t="shared" si="2"/>
        <v>0</v>
      </c>
      <c r="F19" s="11">
        <f>VLOOKUP( $A19, Aop!$A$2:$P$453, 4, 0)</f>
        <v>913</v>
      </c>
      <c r="G19" s="55">
        <f t="shared" si="3"/>
        <v>2022</v>
      </c>
      <c r="H19" s="139">
        <f t="shared" si="4"/>
        <v>44926</v>
      </c>
      <c r="I19" s="55">
        <v>30</v>
      </c>
      <c r="J19" s="52">
        <f t="shared" ca="1" si="5"/>
        <v>1177999</v>
      </c>
      <c r="K19" s="52">
        <f t="shared" ca="1" si="5"/>
        <v>0</v>
      </c>
      <c r="L19" s="52">
        <f t="shared" ca="1" si="5"/>
        <v>1521849</v>
      </c>
      <c r="M19" s="52">
        <f t="shared" ca="1" si="5"/>
        <v>0</v>
      </c>
      <c r="N19" s="52">
        <f t="shared" ca="1" si="5"/>
        <v>0</v>
      </c>
      <c r="O19" s="52">
        <f t="shared" ca="1" si="5"/>
        <v>837465</v>
      </c>
      <c r="P19" s="52">
        <f t="shared" ca="1" si="5"/>
        <v>733165</v>
      </c>
      <c r="Q19" s="52">
        <f t="shared" ca="1" si="5"/>
        <v>4270478</v>
      </c>
      <c r="R19" s="52">
        <f t="shared" ca="1" si="5"/>
        <v>0</v>
      </c>
      <c r="S19" s="52">
        <f t="shared" ca="1" si="5"/>
        <v>4270478</v>
      </c>
    </row>
    <row r="20" spans="1:19" x14ac:dyDescent="0.3">
      <c r="A20" s="106">
        <v>437</v>
      </c>
      <c r="B20" s="112" t="str">
        <f>VLOOKUP( $A20, Aop!$A$2:$P$453, 2, 0)</f>
        <v>BPK</v>
      </c>
      <c r="C20" s="55" t="str">
        <f t="shared" si="0"/>
        <v>01755633</v>
      </c>
      <c r="D20" s="55" t="str">
        <f t="shared" si="1"/>
        <v>4400228130004</v>
      </c>
      <c r="E20" s="55" t="b">
        <f t="shared" si="2"/>
        <v>0</v>
      </c>
      <c r="F20" s="11">
        <f>VLOOKUP( $A20, Aop!$A$2:$P$453, 4, 0)</f>
        <v>0</v>
      </c>
      <c r="G20" s="55">
        <f t="shared" si="3"/>
        <v>2022</v>
      </c>
      <c r="H20" s="139">
        <f t="shared" si="4"/>
        <v>44926</v>
      </c>
      <c r="I20" s="55">
        <v>30</v>
      </c>
      <c r="J20" s="52" t="s">
        <v>786</v>
      </c>
      <c r="K20" s="52" t="s">
        <v>786</v>
      </c>
      <c r="L20" s="52" t="s">
        <v>786</v>
      </c>
      <c r="M20" s="52" t="s">
        <v>786</v>
      </c>
      <c r="N20" s="52" t="s">
        <v>786</v>
      </c>
      <c r="O20" s="52" t="s">
        <v>786</v>
      </c>
      <c r="P20" s="52" t="s">
        <v>786</v>
      </c>
      <c r="Q20" s="52" t="s">
        <v>786</v>
      </c>
      <c r="R20" s="52" t="s">
        <v>786</v>
      </c>
      <c r="S20" s="52" t="s">
        <v>786</v>
      </c>
    </row>
    <row r="21" spans="1:19" x14ac:dyDescent="0.3">
      <c r="A21" s="106">
        <v>438</v>
      </c>
      <c r="B21" s="225" t="str">
        <f>VLOOKUP( $A21, Aop!$A$2:$P$453, 2, 0)</f>
        <v>BPK</v>
      </c>
      <c r="C21" s="52" t="str">
        <f t="shared" ref="C21:C35" si="6">Podatak_MB</f>
        <v>01755633</v>
      </c>
      <c r="D21" s="52" t="str">
        <f t="shared" ref="D21:D35" si="7">Podatak_JIB</f>
        <v>4400228130004</v>
      </c>
      <c r="E21" s="52" t="b">
        <f t="shared" ref="E21:E35" si="8">Konsolidovan_izvjestaj</f>
        <v>0</v>
      </c>
      <c r="F21" s="11">
        <f>VLOOKUP( $A21, Aop!$A$2:$P$453, 4, 0)</f>
        <v>914</v>
      </c>
      <c r="G21" s="52">
        <f t="shared" ref="G21:G35" si="9">Godina</f>
        <v>2022</v>
      </c>
      <c r="H21" s="224">
        <f t="shared" ref="H21:H35" si="10">Datum_Broj</f>
        <v>44926</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3">
      <c r="A22" s="106">
        <v>439</v>
      </c>
      <c r="B22" s="225" t="str">
        <f>VLOOKUP( $A22, Aop!$A$2:$P$453, 2, 0)</f>
        <v>BPK</v>
      </c>
      <c r="C22" s="52" t="str">
        <f t="shared" si="6"/>
        <v>01755633</v>
      </c>
      <c r="D22" s="52" t="str">
        <f t="shared" si="7"/>
        <v>4400228130004</v>
      </c>
      <c r="E22" s="52" t="b">
        <f t="shared" si="8"/>
        <v>0</v>
      </c>
      <c r="F22" s="11">
        <f>VLOOKUP( $A22, Aop!$A$2:$P$453, 4, 0)</f>
        <v>915</v>
      </c>
      <c r="G22" s="52">
        <f t="shared" si="9"/>
        <v>2022</v>
      </c>
      <c r="H22" s="224">
        <f t="shared" si="10"/>
        <v>44926</v>
      </c>
      <c r="I22" s="55">
        <v>30</v>
      </c>
      <c r="J22" s="52" t="s">
        <v>786</v>
      </c>
      <c r="K22" s="52" t="s">
        <v>786</v>
      </c>
      <c r="L22" s="52" t="s">
        <v>786</v>
      </c>
      <c r="M22" s="52" t="s">
        <v>786</v>
      </c>
      <c r="N22" s="52" t="s">
        <v>786</v>
      </c>
      <c r="O22" s="52" t="s">
        <v>786</v>
      </c>
      <c r="P22" s="52" t="s">
        <v>786</v>
      </c>
      <c r="Q22" s="52" t="s">
        <v>786</v>
      </c>
      <c r="R22" s="52" t="s">
        <v>786</v>
      </c>
      <c r="S22" s="52" t="s">
        <v>786</v>
      </c>
    </row>
    <row r="23" spans="1:19" x14ac:dyDescent="0.3">
      <c r="A23" s="106">
        <v>440</v>
      </c>
      <c r="B23" s="225" t="str">
        <f>VLOOKUP( $A23, Aop!$A$2:$P$453, 2, 0)</f>
        <v>BPK</v>
      </c>
      <c r="C23" s="52" t="str">
        <f t="shared" si="6"/>
        <v>01755633</v>
      </c>
      <c r="D23" s="52" t="str">
        <f t="shared" si="7"/>
        <v>4400228130004</v>
      </c>
      <c r="E23" s="52" t="b">
        <f t="shared" si="8"/>
        <v>0</v>
      </c>
      <c r="F23" s="11">
        <f>VLOOKUP( $A23, Aop!$A$2:$P$453, 4, 0)</f>
        <v>916</v>
      </c>
      <c r="G23" s="52">
        <f t="shared" si="9"/>
        <v>2022</v>
      </c>
      <c r="H23" s="224">
        <f t="shared" si="10"/>
        <v>44926</v>
      </c>
      <c r="I23" s="55">
        <v>30</v>
      </c>
      <c r="J23" s="52">
        <f t="shared" ca="1" si="11"/>
        <v>1177999</v>
      </c>
      <c r="K23" s="52">
        <f t="shared" ca="1" si="11"/>
        <v>0</v>
      </c>
      <c r="L23" s="52">
        <f t="shared" ca="1" si="11"/>
        <v>1521849</v>
      </c>
      <c r="M23" s="52">
        <f t="shared" ca="1" si="11"/>
        <v>0</v>
      </c>
      <c r="N23" s="52">
        <f t="shared" ca="1" si="11"/>
        <v>0</v>
      </c>
      <c r="O23" s="52">
        <f t="shared" ca="1" si="11"/>
        <v>837465</v>
      </c>
      <c r="P23" s="52">
        <f t="shared" ca="1" si="11"/>
        <v>733165</v>
      </c>
      <c r="Q23" s="52">
        <f t="shared" ca="1" si="11"/>
        <v>4270478</v>
      </c>
      <c r="R23" s="52">
        <f t="shared" ca="1" si="11"/>
        <v>0</v>
      </c>
      <c r="S23" s="52">
        <f t="shared" ca="1" si="11"/>
        <v>4270478</v>
      </c>
    </row>
    <row r="24" spans="1:19" x14ac:dyDescent="0.3">
      <c r="A24" s="106">
        <v>441</v>
      </c>
      <c r="B24" s="225" t="str">
        <f>VLOOKUP( $A24, Aop!$A$2:$P$453, 2, 0)</f>
        <v>BPK</v>
      </c>
      <c r="C24" s="52" t="str">
        <f t="shared" si="6"/>
        <v>01755633</v>
      </c>
      <c r="D24" s="52" t="str">
        <f t="shared" si="7"/>
        <v>4400228130004</v>
      </c>
      <c r="E24" s="52" t="b">
        <f t="shared" si="8"/>
        <v>0</v>
      </c>
      <c r="F24" s="11">
        <f>VLOOKUP( $A24, Aop!$A$2:$P$453, 4, 0)</f>
        <v>0</v>
      </c>
      <c r="G24" s="52">
        <f t="shared" si="9"/>
        <v>2022</v>
      </c>
      <c r="H24" s="224">
        <f t="shared" si="10"/>
        <v>44926</v>
      </c>
      <c r="I24" s="55">
        <v>30</v>
      </c>
      <c r="J24" s="52" t="s">
        <v>786</v>
      </c>
      <c r="K24" s="52" t="s">
        <v>786</v>
      </c>
      <c r="L24" s="52" t="s">
        <v>786</v>
      </c>
      <c r="M24" s="52" t="s">
        <v>786</v>
      </c>
      <c r="N24" s="52" t="s">
        <v>786</v>
      </c>
      <c r="O24" s="52" t="s">
        <v>786</v>
      </c>
      <c r="P24" s="52" t="s">
        <v>786</v>
      </c>
      <c r="Q24" s="52" t="s">
        <v>786</v>
      </c>
      <c r="R24" s="52" t="s">
        <v>786</v>
      </c>
      <c r="S24" s="52" t="s">
        <v>786</v>
      </c>
    </row>
    <row r="25" spans="1:19" x14ac:dyDescent="0.3">
      <c r="A25" s="106">
        <v>442</v>
      </c>
      <c r="B25" s="225" t="str">
        <f>VLOOKUP( $A25, Aop!$A$2:$P$453, 2, 0)</f>
        <v>BPK</v>
      </c>
      <c r="C25" s="52" t="str">
        <f t="shared" ref="C25:C34" si="12">Podatak_MB</f>
        <v>01755633</v>
      </c>
      <c r="D25" s="52" t="str">
        <f t="shared" ref="D25:D34" si="13">Podatak_JIB</f>
        <v>4400228130004</v>
      </c>
      <c r="E25" s="52" t="b">
        <f t="shared" ref="E25:E34" si="14">Konsolidovan_izvjestaj</f>
        <v>0</v>
      </c>
      <c r="F25" s="11">
        <f>VLOOKUP( $A25, Aop!$A$2:$P$453, 4, 0)</f>
        <v>917</v>
      </c>
      <c r="G25" s="52">
        <f t="shared" ref="G25:G34" si="15">Godina</f>
        <v>2022</v>
      </c>
      <c r="H25" s="224">
        <f t="shared" ref="H25:H34" si="16">Datum_Broj</f>
        <v>44926</v>
      </c>
      <c r="I25" s="55">
        <v>30</v>
      </c>
      <c r="J25" s="52" t="str">
        <f t="shared" ref="J25:J34" ca="1" si="17">IF(VLOOKUP($F25,INDIRECT("Lookup_"&amp;$B25),J$1-1,0)="","",VLOOKUP($F25,INDIRECT("Lookup_"&amp;$B25),J$1-1,0))</f>
        <v/>
      </c>
      <c r="K25" s="52"/>
      <c r="L25" s="52"/>
      <c r="M25" s="52"/>
      <c r="N25" s="52"/>
      <c r="O25" s="52"/>
      <c r="P25" s="52"/>
      <c r="Q25" s="52"/>
      <c r="R25" s="52"/>
      <c r="S25" s="52"/>
    </row>
    <row r="26" spans="1:19" x14ac:dyDescent="0.3">
      <c r="A26" s="106">
        <v>443</v>
      </c>
      <c r="B26" s="225" t="str">
        <f>VLOOKUP( $A26, Aop!$A$2:$P$453, 2, 0)</f>
        <v>BPK</v>
      </c>
      <c r="C26" s="52" t="str">
        <f t="shared" si="12"/>
        <v>01755633</v>
      </c>
      <c r="D26" s="52" t="str">
        <f t="shared" si="13"/>
        <v>4400228130004</v>
      </c>
      <c r="E26" s="52" t="b">
        <f t="shared" si="14"/>
        <v>0</v>
      </c>
      <c r="F26" s="11">
        <f>VLOOKUP( $A26, Aop!$A$2:$P$453, 4, 0)</f>
        <v>918</v>
      </c>
      <c r="G26" s="52">
        <f t="shared" si="15"/>
        <v>2022</v>
      </c>
      <c r="H26" s="224">
        <f t="shared" si="16"/>
        <v>44926</v>
      </c>
      <c r="I26" s="55">
        <v>30</v>
      </c>
      <c r="J26" s="52" t="str">
        <f t="shared" ca="1" si="17"/>
        <v/>
      </c>
      <c r="K26" s="52"/>
      <c r="L26" s="52"/>
      <c r="M26" s="52"/>
      <c r="N26" s="52"/>
      <c r="O26" s="52"/>
      <c r="P26" s="52"/>
      <c r="Q26" s="52"/>
      <c r="R26" s="52"/>
      <c r="S26" s="52"/>
    </row>
    <row r="27" spans="1:19" x14ac:dyDescent="0.3">
      <c r="A27" s="106">
        <v>444</v>
      </c>
      <c r="B27" s="225" t="str">
        <f>VLOOKUP( $A27, Aop!$A$2:$P$453, 2, 0)</f>
        <v>BPK</v>
      </c>
      <c r="C27" s="52" t="str">
        <f t="shared" si="12"/>
        <v>01755633</v>
      </c>
      <c r="D27" s="52" t="str">
        <f t="shared" si="13"/>
        <v>4400228130004</v>
      </c>
      <c r="E27" s="52" t="b">
        <f t="shared" si="14"/>
        <v>0</v>
      </c>
      <c r="F27" s="11">
        <f>VLOOKUP( $A27, Aop!$A$2:$P$453, 4, 0)</f>
        <v>919</v>
      </c>
      <c r="G27" s="52">
        <f t="shared" si="15"/>
        <v>2022</v>
      </c>
      <c r="H27" s="224">
        <f t="shared" si="16"/>
        <v>44926</v>
      </c>
      <c r="I27" s="55">
        <v>30</v>
      </c>
      <c r="J27" s="52">
        <f t="shared" ca="1" si="17"/>
        <v>0</v>
      </c>
      <c r="K27" s="52"/>
      <c r="L27" s="52"/>
      <c r="M27" s="52"/>
      <c r="N27" s="52"/>
      <c r="O27" s="52"/>
      <c r="P27" s="52"/>
      <c r="Q27" s="52"/>
      <c r="R27" s="52"/>
      <c r="S27" s="52"/>
    </row>
    <row r="28" spans="1:19" x14ac:dyDescent="0.3">
      <c r="A28" s="106">
        <v>445</v>
      </c>
      <c r="B28" s="225" t="str">
        <f>VLOOKUP( $A28, Aop!$A$2:$P$453, 2, 0)</f>
        <v>BPK</v>
      </c>
      <c r="C28" s="52" t="str">
        <f t="shared" si="12"/>
        <v>01755633</v>
      </c>
      <c r="D28" s="52" t="str">
        <f t="shared" si="13"/>
        <v>4400228130004</v>
      </c>
      <c r="E28" s="52" t="b">
        <f t="shared" si="14"/>
        <v>0</v>
      </c>
      <c r="F28" s="11">
        <f>VLOOKUP( $A28, Aop!$A$2:$P$453, 4, 0)</f>
        <v>0</v>
      </c>
      <c r="G28" s="52">
        <f t="shared" si="15"/>
        <v>2022</v>
      </c>
      <c r="H28" s="224">
        <f t="shared" si="16"/>
        <v>44926</v>
      </c>
      <c r="I28" s="55">
        <v>30</v>
      </c>
      <c r="J28" s="52" t="str">
        <f t="shared" ca="1" si="17"/>
        <v/>
      </c>
      <c r="K28" s="52"/>
      <c r="L28" s="52"/>
      <c r="M28" s="52"/>
      <c r="N28" s="52"/>
      <c r="O28" s="52"/>
      <c r="P28" s="52"/>
      <c r="Q28" s="52"/>
      <c r="R28" s="52"/>
      <c r="S28" s="52"/>
    </row>
    <row r="29" spans="1:19" x14ac:dyDescent="0.3">
      <c r="A29" s="106">
        <v>446</v>
      </c>
      <c r="B29" s="225" t="str">
        <f>VLOOKUP( $A29, Aop!$A$2:$P$453, 2, 0)</f>
        <v>BPK</v>
      </c>
      <c r="C29" s="52" t="str">
        <f t="shared" si="12"/>
        <v>01755633</v>
      </c>
      <c r="D29" s="52" t="str">
        <f t="shared" si="13"/>
        <v>4400228130004</v>
      </c>
      <c r="E29" s="52" t="b">
        <f t="shared" si="14"/>
        <v>0</v>
      </c>
      <c r="F29" s="11">
        <f>VLOOKUP( $A29, Aop!$A$2:$P$453, 4, 0)</f>
        <v>920</v>
      </c>
      <c r="G29" s="52">
        <f t="shared" si="15"/>
        <v>2022</v>
      </c>
      <c r="H29" s="224">
        <f t="shared" si="16"/>
        <v>44926</v>
      </c>
      <c r="I29" s="55">
        <v>30</v>
      </c>
      <c r="J29" s="52" t="str">
        <f t="shared" ca="1" si="17"/>
        <v/>
      </c>
      <c r="K29" s="52"/>
      <c r="L29" s="52"/>
      <c r="M29" s="52"/>
      <c r="N29" s="52"/>
      <c r="O29" s="52"/>
      <c r="P29" s="52"/>
      <c r="Q29" s="52"/>
      <c r="R29" s="52"/>
      <c r="S29" s="52"/>
    </row>
    <row r="30" spans="1:19" x14ac:dyDescent="0.3">
      <c r="A30" s="106">
        <v>447</v>
      </c>
      <c r="B30" s="225" t="str">
        <f>VLOOKUP( $A30, Aop!$A$2:$P$453, 2, 0)</f>
        <v>BPK</v>
      </c>
      <c r="C30" s="52" t="str">
        <f t="shared" si="12"/>
        <v>01755633</v>
      </c>
      <c r="D30" s="52" t="str">
        <f t="shared" si="13"/>
        <v>4400228130004</v>
      </c>
      <c r="E30" s="52" t="b">
        <f t="shared" si="14"/>
        <v>0</v>
      </c>
      <c r="F30" s="11">
        <f>VLOOKUP( $A30, Aop!$A$2:$P$453, 4, 0)</f>
        <v>921</v>
      </c>
      <c r="G30" s="52">
        <f t="shared" si="15"/>
        <v>2022</v>
      </c>
      <c r="H30" s="224">
        <f t="shared" si="16"/>
        <v>44926</v>
      </c>
      <c r="I30" s="55">
        <v>30</v>
      </c>
      <c r="J30" s="52" t="str">
        <f t="shared" ca="1" si="17"/>
        <v/>
      </c>
      <c r="K30" s="52"/>
      <c r="L30" s="52"/>
      <c r="M30" s="52"/>
      <c r="N30" s="52"/>
      <c r="O30" s="52"/>
      <c r="P30" s="52"/>
      <c r="Q30" s="52"/>
      <c r="R30" s="52"/>
      <c r="S30" s="52"/>
    </row>
    <row r="31" spans="1:19" x14ac:dyDescent="0.3">
      <c r="A31" s="106">
        <v>448</v>
      </c>
      <c r="B31" s="225" t="str">
        <f>VLOOKUP( $A31, Aop!$A$2:$P$453, 2, 0)</f>
        <v>BPK</v>
      </c>
      <c r="C31" s="52" t="str">
        <f t="shared" si="12"/>
        <v>01755633</v>
      </c>
      <c r="D31" s="52" t="str">
        <f t="shared" si="13"/>
        <v>4400228130004</v>
      </c>
      <c r="E31" s="52" t="b">
        <f t="shared" si="14"/>
        <v>0</v>
      </c>
      <c r="F31" s="11">
        <f>VLOOKUP( $A31, Aop!$A$2:$P$453, 4, 0)</f>
        <v>922</v>
      </c>
      <c r="G31" s="52">
        <f t="shared" si="15"/>
        <v>2022</v>
      </c>
      <c r="H31" s="224">
        <f t="shared" si="16"/>
        <v>44926</v>
      </c>
      <c r="I31" s="55">
        <v>30</v>
      </c>
      <c r="J31" s="52" t="str">
        <f t="shared" ca="1" si="17"/>
        <v/>
      </c>
      <c r="K31" s="52"/>
      <c r="L31" s="52"/>
      <c r="M31" s="52"/>
      <c r="N31" s="52"/>
      <c r="O31" s="52"/>
      <c r="P31" s="52"/>
      <c r="Q31" s="52"/>
      <c r="R31" s="52"/>
      <c r="S31" s="52"/>
    </row>
    <row r="32" spans="1:19" x14ac:dyDescent="0.3">
      <c r="A32" s="106">
        <v>449</v>
      </c>
      <c r="B32" s="225" t="str">
        <f>VLOOKUP( $A32, Aop!$A$2:$P$453, 2, 0)</f>
        <v>BPK</v>
      </c>
      <c r="C32" s="52" t="str">
        <f t="shared" si="12"/>
        <v>01755633</v>
      </c>
      <c r="D32" s="52" t="str">
        <f t="shared" si="13"/>
        <v>4400228130004</v>
      </c>
      <c r="E32" s="52" t="b">
        <f t="shared" si="14"/>
        <v>0</v>
      </c>
      <c r="F32" s="11">
        <f>VLOOKUP( $A32, Aop!$A$2:$P$453, 4, 0)</f>
        <v>923</v>
      </c>
      <c r="G32" s="52">
        <f t="shared" si="15"/>
        <v>2022</v>
      </c>
      <c r="H32" s="224">
        <f t="shared" si="16"/>
        <v>44926</v>
      </c>
      <c r="I32" s="55">
        <v>30</v>
      </c>
      <c r="J32" s="52" t="str">
        <f t="shared" ca="1" si="17"/>
        <v/>
      </c>
      <c r="K32" s="52"/>
      <c r="L32" s="52"/>
      <c r="M32" s="52"/>
      <c r="N32" s="52"/>
      <c r="O32" s="52"/>
      <c r="P32" s="52"/>
      <c r="Q32" s="52"/>
      <c r="R32" s="52"/>
      <c r="S32" s="52"/>
    </row>
    <row r="33" spans="1:19" x14ac:dyDescent="0.3">
      <c r="A33" s="106">
        <v>450</v>
      </c>
      <c r="B33" s="225" t="str">
        <f>VLOOKUP( $A33, Aop!$A$2:$P$453, 2, 0)</f>
        <v>BPK</v>
      </c>
      <c r="C33" s="52" t="str">
        <f t="shared" si="12"/>
        <v>01755633</v>
      </c>
      <c r="D33" s="52" t="str">
        <f t="shared" si="13"/>
        <v>4400228130004</v>
      </c>
      <c r="E33" s="52" t="b">
        <f t="shared" si="14"/>
        <v>0</v>
      </c>
      <c r="F33" s="11">
        <f>VLOOKUP( $A33, Aop!$A$2:$P$453, 4, 0)</f>
        <v>924</v>
      </c>
      <c r="G33" s="52">
        <f t="shared" si="15"/>
        <v>2022</v>
      </c>
      <c r="H33" s="224">
        <f t="shared" si="16"/>
        <v>44926</v>
      </c>
      <c r="I33" s="55">
        <v>30</v>
      </c>
      <c r="J33" s="52" t="str">
        <f t="shared" ca="1" si="17"/>
        <v/>
      </c>
      <c r="K33" s="52"/>
      <c r="L33" s="52"/>
      <c r="M33" s="52"/>
      <c r="N33" s="52"/>
      <c r="O33" s="52"/>
      <c r="P33" s="52"/>
      <c r="Q33" s="52"/>
      <c r="R33" s="52"/>
      <c r="S33" s="52"/>
    </row>
    <row r="34" spans="1:19" x14ac:dyDescent="0.3">
      <c r="A34" s="106">
        <v>451</v>
      </c>
      <c r="B34" s="225" t="str">
        <f>VLOOKUP( $A34, Aop!$A$2:$P$453, 2, 0)</f>
        <v>BPK</v>
      </c>
      <c r="C34" s="52" t="str">
        <f t="shared" si="12"/>
        <v>01755633</v>
      </c>
      <c r="D34" s="52" t="str">
        <f t="shared" si="13"/>
        <v>4400228130004</v>
      </c>
      <c r="E34" s="52" t="b">
        <f t="shared" si="14"/>
        <v>0</v>
      </c>
      <c r="F34" s="11">
        <f>VLOOKUP( $A34, Aop!$A$2:$P$453, 4, 0)</f>
        <v>0</v>
      </c>
      <c r="G34" s="52">
        <f t="shared" si="15"/>
        <v>2022</v>
      </c>
      <c r="H34" s="224">
        <f t="shared" si="16"/>
        <v>44926</v>
      </c>
      <c r="I34" s="55">
        <v>30</v>
      </c>
      <c r="J34" s="52" t="str">
        <f t="shared" ca="1" si="17"/>
        <v/>
      </c>
      <c r="K34" s="52"/>
      <c r="L34" s="52"/>
      <c r="M34" s="52"/>
      <c r="N34" s="52"/>
      <c r="O34" s="52"/>
      <c r="P34" s="52"/>
      <c r="Q34" s="52"/>
      <c r="R34" s="52"/>
      <c r="S34" s="52"/>
    </row>
    <row r="35" spans="1:19" x14ac:dyDescent="0.3">
      <c r="A35" s="106">
        <v>452</v>
      </c>
      <c r="B35" s="225" t="str">
        <f>VLOOKUP( $A35, Aop!$A$2:$P$453, 2, 0)</f>
        <v>BPK</v>
      </c>
      <c r="C35" s="52" t="str">
        <f t="shared" si="6"/>
        <v>01755633</v>
      </c>
      <c r="D35" s="52" t="str">
        <f t="shared" si="7"/>
        <v>4400228130004</v>
      </c>
      <c r="E35" s="52" t="b">
        <f t="shared" si="8"/>
        <v>0</v>
      </c>
      <c r="F35" s="11">
        <f>VLOOKUP( $A35, Aop!$A$2:$P$453, 4, 0)</f>
        <v>925</v>
      </c>
      <c r="G35" s="52">
        <f t="shared" si="9"/>
        <v>2022</v>
      </c>
      <c r="H35" s="224">
        <f t="shared" si="10"/>
        <v>44926</v>
      </c>
      <c r="I35" s="55">
        <v>30</v>
      </c>
      <c r="J35" s="52">
        <f t="shared" ref="J35:S35" ca="1" si="18">IF(VLOOKUP($F35,INDIRECT("Lookup_"&amp;$B35),J$1-1,0)="","",VLOOKUP($F35,INDIRECT("Lookup_"&amp;$B35),J$1-1,0))</f>
        <v>1177999</v>
      </c>
      <c r="K35" s="52">
        <f t="shared" ca="1" si="18"/>
        <v>0</v>
      </c>
      <c r="L35" s="52">
        <f t="shared" ca="1" si="18"/>
        <v>2255014</v>
      </c>
      <c r="M35" s="52">
        <f t="shared" ca="1" si="18"/>
        <v>0</v>
      </c>
      <c r="N35" s="52">
        <f t="shared" ca="1" si="18"/>
        <v>0</v>
      </c>
      <c r="O35" s="52">
        <f t="shared" ca="1" si="18"/>
        <v>837465</v>
      </c>
      <c r="P35" s="52">
        <f t="shared" ca="1" si="18"/>
        <v>454948</v>
      </c>
      <c r="Q35" s="52">
        <f t="shared" ca="1" si="18"/>
        <v>4725426</v>
      </c>
      <c r="R35" s="52">
        <f t="shared" ca="1" si="18"/>
        <v>0</v>
      </c>
      <c r="S35" s="52">
        <f t="shared" ca="1" si="18"/>
        <v>4725426</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B2" sqref="B2:P441"/>
    </sheetView>
  </sheetViews>
  <sheetFormatPr defaultColWidth="9.109375" defaultRowHeight="13.8" x14ac:dyDescent="0.3"/>
  <cols>
    <col min="1" max="1" width="9.109375" style="8"/>
    <col min="2" max="3" width="8.33203125" style="8" customWidth="1"/>
    <col min="4" max="4" width="10" style="8" customWidth="1"/>
    <col min="5" max="11" width="9.5546875" style="8" customWidth="1"/>
    <col min="12" max="13" width="10.5546875" style="8" customWidth="1"/>
    <col min="14" max="14" width="9.5546875" style="8" customWidth="1"/>
    <col min="15" max="15" width="0.109375" style="8" customWidth="1"/>
    <col min="16" max="16" width="12.5546875" style="8" hidden="1" customWidth="1"/>
    <col min="17" max="17" width="12.44140625" style="8" bestFit="1" customWidth="1"/>
    <col min="18" max="18" width="8.5546875" style="8" bestFit="1" customWidth="1"/>
    <col min="19" max="19" width="13.109375" style="8" bestFit="1" customWidth="1"/>
    <col min="20" max="20" width="13.33203125" style="8" bestFit="1" customWidth="1"/>
    <col min="21" max="16384" width="9.109375" style="8"/>
  </cols>
  <sheetData>
    <row r="1" spans="2:23" ht="29.25" customHeight="1" x14ac:dyDescent="0.3">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3">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9447048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6320677</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3126371</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3308872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3">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143991</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104352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39639</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45214</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3">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3">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3">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126008</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86369</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39639</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45214</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3">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17983</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17983</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3">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3">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9303057</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6216325</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3086732</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3263658</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3">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105215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105215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105215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3">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1309596</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1185908</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123688</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150145</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3">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7880423</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5030417</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2850006</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2972274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3">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3">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3">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7823</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7823</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36024</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3">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3">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3">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3">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3">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3">
      <c r="B21" s="84">
        <f>IF(AND([0]!Godina=2022,MID(Osnovni_podaci!D20,3,1)="H",Osnovni_podaci!L24=3,Osnovni_podaci!G24=0,MID(Osnovni_podaci!D20,3,1)="H",MID(Osnovni_podaci!D20,8,1)="S"),VLOOKUP( T_ApifImport[[#This Row],[Bilans]], T_Bilansi[], 4, 0),A1)</f>
        <v>25</v>
      </c>
      <c r="C21" s="229">
        <f>VLOOKUP( T_ApifImport[[#This Row],[ld]], T_Aop[], 4, 0)</f>
        <v>20</v>
      </c>
      <c r="D21"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3">
      <c r="B22" s="84">
        <f>IF(AND([0]!Godina=2022,MID(Osnovni_podaci!D20,3,1)="H",Osnovni_podaci!L24=3,Osnovni_podaci!G24=0,MID(Osnovni_podaci!D20,3,1)="H",MID(Osnovni_podaci!D20,8,1)="S"),VLOOKUP( T_ApifImport[[#This Row],[Bilans]], T_Bilansi[], 4, 0),A1)</f>
        <v>25</v>
      </c>
      <c r="C22" s="229">
        <f>VLOOKUP( T_ApifImport[[#This Row],[ld]], T_Aop[], 4, 0)</f>
        <v>21</v>
      </c>
      <c r="D22"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3">
      <c r="B23" s="84">
        <f>IF(AND([0]!Godina=2022,MID(Osnovni_podaci!D20,3,1)="H",Osnovni_podaci!L24=3,Osnovni_podaci!G24=0,MID(Osnovni_podaci!D20,3,1)="H",MID(Osnovni_podaci!D20,8,1)="S"),VLOOKUP( T_ApifImport[[#This Row],[Bilans]], T_Bilansi[], 4, 0),A1)</f>
        <v>25</v>
      </c>
      <c r="C23" s="229">
        <f>VLOOKUP( T_ApifImport[[#This Row],[ld]], T_Aop[], 4, 0)</f>
        <v>22</v>
      </c>
      <c r="D23"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3">
      <c r="B24" s="84">
        <f>IF(AND([0]!Godina=2022,MID(Osnovni_podaci!D20,3,1)="H",Osnovni_podaci!L24=3,Osnovni_podaci!G24=0,MID(Osnovni_podaci!D20,3,1)="H",MID(Osnovni_podaci!D20,8,1)="S"),VLOOKUP( T_ApifImport[[#This Row],[Bilans]], T_Bilansi[], 4, 0),A1)</f>
        <v>25</v>
      </c>
      <c r="C24" s="229">
        <f>VLOOKUP( T_ApifImport[[#This Row],[ld]], T_Aop[], 4, 0)</f>
        <v>23</v>
      </c>
      <c r="D24"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3">
      <c r="B25" s="84">
        <f>IF(AND([0]!Godina=2022,MID(Osnovni_podaci!D20,3,1)="H",Osnovni_podaci!L24=3,Osnovni_podaci!G24=0,MID(Osnovni_podaci!D20,3,1)="H",MID(Osnovni_podaci!D20,8,1)="S"),VLOOKUP( T_ApifImport[[#This Row],[Bilans]], T_Bilansi[], 4, 0),A1)</f>
        <v>25</v>
      </c>
      <c r="C25" s="229">
        <f>VLOOKUP( T_ApifImport[[#This Row],[ld]], T_Aop[], 4, 0)</f>
        <v>24</v>
      </c>
      <c r="D25"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3">
      <c r="B26" s="84">
        <f>IF(AND([0]!Godina=2022,MID(Osnovni_podaci!D20,3,1)="H",Osnovni_podaci!L24=3,Osnovni_podaci!G24=0,MID(Osnovni_podaci!D20,3,1)="H",MID(Osnovni_podaci!D20,8,1)="S"),VLOOKUP( T_ApifImport[[#This Row],[Bilans]], T_Bilansi[], 4, 0),A1)</f>
        <v>25</v>
      </c>
      <c r="C26" s="229">
        <f>VLOOKUP( T_ApifImport[[#This Row],[ld]], T_Aop[], 4, 0)</f>
        <v>25</v>
      </c>
      <c r="D26"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3">
      <c r="B27" s="84">
        <f>IF(AND([0]!Godina=2022,MID(Osnovni_podaci!D20,3,1)="H",Osnovni_podaci!L24=3,Osnovni_podaci!G24=0,MID(Osnovni_podaci!D20,3,1)="H",MID(Osnovni_podaci!D20,8,1)="S"),VLOOKUP( T_ApifImport[[#This Row],[Bilans]], T_Bilansi[], 4, 0),A1)</f>
        <v>25</v>
      </c>
      <c r="C27" s="229">
        <f>VLOOKUP( T_ApifImport[[#This Row],[ld]], T_Aop[], 4, 0)</f>
        <v>26</v>
      </c>
      <c r="D27"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3">
      <c r="B28" s="84">
        <f>IF(AND([0]!Godina=2022,MID(Osnovni_podaci!D20,3,1)="H",Osnovni_podaci!L24=3,Osnovni_podaci!G24=0,MID(Osnovni_podaci!D20,3,1)="H",MID(Osnovni_podaci!D20,8,1)="S"),VLOOKUP( T_ApifImport[[#This Row],[Bilans]], T_Bilansi[], 4, 0),A1)</f>
        <v>25</v>
      </c>
      <c r="C28" s="229">
        <f>VLOOKUP( T_ApifImport[[#This Row],[ld]], T_Aop[], 4, 0)</f>
        <v>27</v>
      </c>
      <c r="D28" s="229"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3">
      <c r="B29" s="44">
        <f>IF(AND([0]!Godina=2022,MID(Osnovni_podaci!D20,3,1)="H",Osnovni_podaci!L24=3,Osnovni_podaci!G24=0,MID(Osnovni_podaci!D20,3,1)="H",MID(Osnovni_podaci!D20,8,1)="S"),VLOOKUP( T_ApifImport[[#This Row],[Bilans]], T_Bilansi[], 4, 0),A1)</f>
        <v>25</v>
      </c>
      <c r="C29" s="227">
        <f>VLOOKUP( T_ApifImport[[#This Row],[ld]], T_Aop[], 4, 0)</f>
        <v>28</v>
      </c>
      <c r="D2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3">
      <c r="B30" s="44">
        <f>IF(AND([0]!Godina=2022,MID(Osnovni_podaci!D20,3,1)="H",Osnovni_podaci!L24=3,Osnovni_podaci!G24=0,MID(Osnovni_podaci!D20,3,1)="H",MID(Osnovni_podaci!D20,8,1)="S"),VLOOKUP( T_ApifImport[[#This Row],[Bilans]], T_Bilansi[], 4, 0),A1)</f>
        <v>25</v>
      </c>
      <c r="C30" s="227">
        <f>VLOOKUP( T_ApifImport[[#This Row],[ld]], T_Aop[], 4, 0)</f>
        <v>29</v>
      </c>
      <c r="D3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3">
      <c r="B31" s="44">
        <f>IF(AND([0]!Godina=2022,MID(Osnovni_podaci!D20,3,1)="H",Osnovni_podaci!L24=3,Osnovni_podaci!G24=0,MID(Osnovni_podaci!D20,3,1)="H",MID(Osnovni_podaci!D20,8,1)="S"),VLOOKUP( T_ApifImport[[#This Row],[Bilans]], T_Bilansi[], 4, 0),A1)</f>
        <v>25</v>
      </c>
      <c r="C31" s="227">
        <f>VLOOKUP( T_ApifImport[[#This Row],[ld]], T_Aop[], 4, 0)</f>
        <v>30</v>
      </c>
      <c r="D3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3">
      <c r="B32" s="44">
        <f>IF(AND([0]!Godina=2022,MID(Osnovni_podaci!D20,3,1)="H",Osnovni_podaci!L24=3,Osnovni_podaci!G24=0,MID(Osnovni_podaci!D20,3,1)="H",MID(Osnovni_podaci!D20,8,1)="S"),VLOOKUP( T_ApifImport[[#This Row],[Bilans]], T_Bilansi[], 4, 0),A1)</f>
        <v>25</v>
      </c>
      <c r="C32" s="227">
        <f>VLOOKUP( T_ApifImport[[#This Row],[ld]], T_Aop[], 4, 0)</f>
        <v>31</v>
      </c>
      <c r="D3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3">
      <c r="B33" s="44">
        <f>IF(AND([0]!Godina=2022,MID(Osnovni_podaci!D20,3,1)="H",Osnovni_podaci!L24=3,Osnovni_podaci!G24=0,MID(Osnovni_podaci!D20,3,1)="H",MID(Osnovni_podaci!D20,8,1)="S"),VLOOKUP( T_ApifImport[[#This Row],[Bilans]], T_Bilansi[], 4, 0),A1)</f>
        <v>25</v>
      </c>
      <c r="C33" s="227">
        <f>VLOOKUP( T_ApifImport[[#This Row],[ld]], T_Aop[], 4, 0)</f>
        <v>32</v>
      </c>
      <c r="D3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3">
      <c r="B34" s="44">
        <f>IF(AND([0]!Godina=2022,MID(Osnovni_podaci!D20,3,1)="H",Osnovni_podaci!L24=3,Osnovni_podaci!G24=0,MID(Osnovni_podaci!D20,3,1)="H",MID(Osnovni_podaci!D20,8,1)="S"),VLOOKUP( T_ApifImport[[#This Row],[Bilans]], T_Bilansi[], 4, 0),A1)</f>
        <v>25</v>
      </c>
      <c r="C34" s="227">
        <f>VLOOKUP( T_ApifImport[[#This Row],[ld]], T_Aop[], 4, 0)</f>
        <v>33</v>
      </c>
      <c r="D3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3">
      <c r="B35" s="44">
        <f>IF(AND([0]!Godina=2022,MID(Osnovni_podaci!D20,3,1)="H",Osnovni_podaci!L24=3,Osnovni_podaci!G24=0,MID(Osnovni_podaci!D20,3,1)="H",MID(Osnovni_podaci!D20,8,1)="S"),VLOOKUP( T_ApifImport[[#This Row],[Bilans]], T_Bilansi[], 4, 0),A1)</f>
        <v>25</v>
      </c>
      <c r="C35" s="227">
        <f>VLOOKUP( T_ApifImport[[#This Row],[ld]], T_Aop[], 4, 0)</f>
        <v>34</v>
      </c>
      <c r="D3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3">
      <c r="B36" s="44">
        <f>IF(AND([0]!Godina=2022,MID(Osnovni_podaci!D20,3,1)="H",Osnovni_podaci!L24=3,Osnovni_podaci!G24=0,MID(Osnovni_podaci!D20,3,1)="H",MID(Osnovni_podaci!D20,8,1)="S"),VLOOKUP( T_ApifImport[[#This Row],[Bilans]], T_Bilansi[], 4, 0),A1)</f>
        <v>25</v>
      </c>
      <c r="C36" s="227">
        <f>VLOOKUP( T_ApifImport[[#This Row],[ld]], T_Aop[], 4, 0)</f>
        <v>35</v>
      </c>
      <c r="D3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3">
      <c r="B37" s="44">
        <f>IF(AND([0]!Godina=2022,MID(Osnovni_podaci!D20,3,1)="H",Osnovni_podaci!L24=3,Osnovni_podaci!G24=0,MID(Osnovni_podaci!D20,3,1)="H",MID(Osnovni_podaci!D20,8,1)="S"),VLOOKUP( T_ApifImport[[#This Row],[Bilans]], T_Bilansi[], 4, 0),A1)</f>
        <v>25</v>
      </c>
      <c r="C37" s="227">
        <f>VLOOKUP( T_ApifImport[[#This Row],[ld]], T_Aop[], 4, 0)</f>
        <v>36</v>
      </c>
      <c r="D3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2623367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328142</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2295225</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2618863</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3">
      <c r="B38" s="44">
        <f>IF(AND([0]!Godina=2022,MID(Osnovni_podaci!D20,3,1)="H",Osnovni_podaci!L24=3,Osnovni_podaci!G24=0,MID(Osnovni_podaci!D20,3,1)="H",MID(Osnovni_podaci!D20,8,1)="S"),VLOOKUP( T_ApifImport[[#This Row],[Bilans]], T_Bilansi[], 4, 0),A1)</f>
        <v>25</v>
      </c>
      <c r="C38" s="227">
        <f>VLOOKUP( T_ApifImport[[#This Row],[ld]], T_Aop[], 4, 0)</f>
        <v>37</v>
      </c>
      <c r="D3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264512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21402</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243110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215705</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3">
      <c r="B39" s="44">
        <f>IF(AND([0]!Godina=2022,MID(Osnovni_podaci!D20,3,1)="H",Osnovni_podaci!L24=3,Osnovni_podaci!G24=0,MID(Osnovni_podaci!D20,3,1)="H",MID(Osnovni_podaci!D20,8,1)="S"),VLOOKUP( T_ApifImport[[#This Row],[Bilans]], T_Bilansi[], 4, 0),A1)</f>
        <v>25</v>
      </c>
      <c r="C39" s="227">
        <f>VLOOKUP( T_ApifImport[[#This Row],[ld]], T_Aop[], 4, 0)</f>
        <v>38</v>
      </c>
      <c r="D3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174235</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21402</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152833</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138573</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3">
      <c r="B40" s="44">
        <f>IF(AND([0]!Godina=2022,MID(Osnovni_podaci!D20,3,1)="H",Osnovni_podaci!L24=3,Osnovni_podaci!G24=0,MID(Osnovni_podaci!D20,3,1)="H",MID(Osnovni_podaci!D20,8,1)="S"),VLOOKUP( T_ApifImport[[#This Row],[Bilans]], T_Bilansi[], 4, 0),A1)</f>
        <v>25</v>
      </c>
      <c r="C40" s="227">
        <f>VLOOKUP( T_ApifImport[[#This Row],[ld]], T_Aop[], 4, 0)</f>
        <v>39</v>
      </c>
      <c r="D4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3">
      <c r="B41" s="44">
        <f>IF(AND([0]!Godina=2022,MID(Osnovni_podaci!D20,3,1)="H",Osnovni_podaci!L24=3,Osnovni_podaci!G24=0,MID(Osnovni_podaci!D20,3,1)="H",MID(Osnovni_podaci!D20,8,1)="S"),VLOOKUP( T_ApifImport[[#This Row],[Bilans]], T_Bilansi[], 4, 0),A1)</f>
        <v>25</v>
      </c>
      <c r="C41" s="227">
        <f>VLOOKUP( T_ApifImport[[#This Row],[ld]], T_Aop[], 4, 0)</f>
        <v>40</v>
      </c>
      <c r="D4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8365</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8365</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9722</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3">
      <c r="B42" s="44">
        <f>IF(AND([0]!Godina=2022,MID(Osnovni_podaci!D20,3,1)="H",Osnovni_podaci!L24=3,Osnovni_podaci!G24=0,MID(Osnovni_podaci!D20,3,1)="H",MID(Osnovni_podaci!D20,8,1)="S"),VLOOKUP( T_ApifImport[[#This Row],[Bilans]], T_Bilansi[], 4, 0),A1)</f>
        <v>25</v>
      </c>
      <c r="C42" s="227">
        <f>VLOOKUP( T_ApifImport[[#This Row],[ld]], T_Aop[], 4, 0)</f>
        <v>41</v>
      </c>
      <c r="D4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77770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77770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64148</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3">
      <c r="B43" s="44">
        <f>IF(AND([0]!Godina=2022,MID(Osnovni_podaci!D20,3,1)="H",Osnovni_podaci!L24=3,Osnovni_podaci!G24=0,MID(Osnovni_podaci!D20,3,1)="H",MID(Osnovni_podaci!D20,8,1)="S"),VLOOKUP( T_ApifImport[[#This Row],[Bilans]], T_Bilansi[], 4, 0),A1)</f>
        <v>25</v>
      </c>
      <c r="C43" s="227">
        <f>VLOOKUP( T_ApifImport[[#This Row],[ld]], T_Aop[], 4, 0)</f>
        <v>42</v>
      </c>
      <c r="D4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3">
      <c r="B44" s="44">
        <f>IF(AND([0]!Godina=2022,MID(Osnovni_podaci!D20,3,1)="H",Osnovni_podaci!L24=3,Osnovni_podaci!G24=0,MID(Osnovni_podaci!D20,3,1)="H",MID(Osnovni_podaci!D20,8,1)="S"),VLOOKUP( T_ApifImport[[#This Row],[Bilans]], T_Bilansi[], 4, 0),A1)</f>
        <v>25</v>
      </c>
      <c r="C44" s="227">
        <f>VLOOKUP( T_ApifImport[[#This Row],[ld]], T_Aop[], 4, 0)</f>
        <v>43</v>
      </c>
      <c r="D4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4142</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4142</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3262</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3">
      <c r="B45" s="44">
        <f>IF(AND([0]!Godina=2022,MID(Osnovni_podaci!D20,3,1)="H",Osnovni_podaci!L24=3,Osnovni_podaci!G24=0,MID(Osnovni_podaci!D20,3,1)="H",MID(Osnovni_podaci!D20,8,1)="S"),VLOOKUP( T_ApifImport[[#This Row],[Bilans]], T_Bilansi[], 4, 0),A1)</f>
        <v>25</v>
      </c>
      <c r="C45" s="227">
        <f>VLOOKUP( T_ApifImport[[#This Row],[ld]], T_Aop[], 4, 0)</f>
        <v>44</v>
      </c>
      <c r="D4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2358855</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306740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2052115</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2403158</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3">
      <c r="B46" s="44">
        <f>IF(AND([0]!Godina=2022,MID(Osnovni_podaci!D20,3,1)="H",Osnovni_podaci!L24=3,Osnovni_podaci!G24=0,MID(Osnovni_podaci!D20,3,1)="H",MID(Osnovni_podaci!D20,8,1)="S"),VLOOKUP( T_ApifImport[[#This Row],[Bilans]], T_Bilansi[], 4, 0),A1)</f>
        <v>25</v>
      </c>
      <c r="C46" s="227">
        <f>VLOOKUP( T_ApifImport[[#This Row],[ld]], T_Aop[], 4, 0)</f>
        <v>45</v>
      </c>
      <c r="D4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1815389</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306740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1508649</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1744265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3">
      <c r="B47" s="44">
        <f>IF(AND([0]!Godina=2022,MID(Osnovni_podaci!D20,3,1)="H",Osnovni_podaci!L24=3,Osnovni_podaci!G24=0,MID(Osnovni_podaci!D20,3,1)="H",MID(Osnovni_podaci!D20,8,1)="S"),VLOOKUP( T_ApifImport[[#This Row],[Bilans]], T_Bilansi[], 4, 0),A1)</f>
        <v>25</v>
      </c>
      <c r="C47" s="227">
        <f>VLOOKUP( T_ApifImport[[#This Row],[ld]], T_Aop[], 4, 0)</f>
        <v>46</v>
      </c>
      <c r="D4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169663</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169663</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60258</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3">
      <c r="B48" s="44">
        <f>IF(AND([0]!Godina=2022,MID(Osnovni_podaci!D20,3,1)="H",Osnovni_podaci!L24=3,Osnovni_podaci!G24=0,MID(Osnovni_podaci!D20,3,1)="H",MID(Osnovni_podaci!D20,8,1)="S"),VLOOKUP( T_ApifImport[[#This Row],[Bilans]], T_Bilansi[], 4, 0),A1)</f>
        <v>25</v>
      </c>
      <c r="C48" s="227">
        <f>VLOOKUP( T_ApifImport[[#This Row],[ld]], T_Aop[], 4, 0)</f>
        <v>47</v>
      </c>
      <c r="D4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1620543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306740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1313803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1645760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3">
      <c r="B49" s="44">
        <f>IF(AND([0]!Godina=2022,MID(Osnovni_podaci!D20,3,1)="H",Osnovni_podaci!L24=3,Osnovni_podaci!G24=0,MID(Osnovni_podaci!D20,3,1)="H",MID(Osnovni_podaci!D20,8,1)="S"),VLOOKUP( T_ApifImport[[#This Row],[Bilans]], T_Bilansi[], 4, 0),A1)</f>
        <v>25</v>
      </c>
      <c r="C49" s="227">
        <f>VLOOKUP( T_ApifImport[[#This Row],[ld]], T_Aop[], 4, 0)</f>
        <v>48</v>
      </c>
      <c r="D4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1614</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1614</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37014</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3">
      <c r="B50" s="44">
        <f>IF(AND([0]!Godina=2022,MID(Osnovni_podaci!D20,3,1)="H",Osnovni_podaci!L24=3,Osnovni_podaci!G24=0,MID(Osnovni_podaci!D20,3,1)="H",MID(Osnovni_podaci!D20,8,1)="S"),VLOOKUP( T_ApifImport[[#This Row],[Bilans]], T_Bilansi[], 4, 0),A1)</f>
        <v>25</v>
      </c>
      <c r="C50" s="227">
        <f>IF(AND([0]!Godina=2022,MID(Osnovni_podaci!D20,3,1)="H",Osnovni_podaci!L24=3,Osnovni_podaci!G24=0,MID(Osnovni_podaci!D20,3,1)="H",MID(Osnovni_podaci!D20,8,1)="S"),VLOOKUP( T_ApifImport[[#This Row],[ld]], T_Aop[], 4, 0),A1)</f>
        <v>49</v>
      </c>
      <c r="D5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3">
      <c r="B51" s="44">
        <f>IF(AND([0]!Godina=2022,MID(Osnovni_podaci!D20,3,1)="H",Osnovni_podaci!L24=3,Osnovni_podaci!G24=0,MID(Osnovni_podaci!D20,3,1)="H",MID(Osnovni_podaci!D20,8,1)="S"),VLOOKUP( T_ApifImport[[#This Row],[Bilans]], T_Bilansi[], 4, 0),A1)</f>
        <v>25</v>
      </c>
      <c r="C51" s="227">
        <f>IF(AND([0]!Godina=2022,MID(Osnovni_podaci!D20,3,1)="H",Osnovni_podaci!L24=3,Osnovni_podaci!G24=0,MID(Osnovni_podaci!D20,3,1)="H",MID(Osnovni_podaci!D20,8,1)="S"),VLOOKUP( T_ApifImport[[#This Row],[ld]], T_Aop[], 4, 0),A1)</f>
        <v>50</v>
      </c>
      <c r="D5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1569</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1569</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1233</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3">
      <c r="B52" s="44">
        <f>IF(AND([0]!Godina=2022,MID(Osnovni_podaci!D20,3,1)="H",Osnovni_podaci!L24=3,Osnovni_podaci!G24=0,MID(Osnovni_podaci!D20,3,1)="H",MID(Osnovni_podaci!D20,8,1)="S"),VLOOKUP( T_ApifImport[[#This Row],[Bilans]], T_Bilansi[], 4, 0),A1)</f>
        <v>25</v>
      </c>
      <c r="C52" s="227">
        <f>IF(AND([0]!Godina=2022,MID(Osnovni_podaci!D20,3,1)="H",Osnovni_podaci!L24=3,Osnovni_podaci!G24=0,MID(Osnovni_podaci!D20,3,1)="H",MID(Osnovni_podaci!D20,8,1)="S"),VLOOKUP( T_ApifImport[[#This Row],[ld]], T_Aop[], 4, 0),A1)</f>
        <v>51</v>
      </c>
      <c r="D5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22000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22000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3">
      <c r="B53" s="44">
        <f>IF(AND([0]!Godina=2022,MID(Osnovni_podaci!D20,3,1)="H",Osnovni_podaci!L24=3,Osnovni_podaci!G24=0,MID(Osnovni_podaci!D20,3,1)="H",MID(Osnovni_podaci!D20,8,1)="S"),VLOOKUP( T_ApifImport[[#This Row],[Bilans]], T_Bilansi[], 4, 0),A1)</f>
        <v>25</v>
      </c>
      <c r="C53" s="227">
        <f>IF(AND([0]!Godina=2022,MID(Osnovni_podaci!D20,3,1)="H",Osnovni_podaci!L24=3,Osnovni_podaci!G24=0,MID(Osnovni_podaci!D20,3,1)="H",MID(Osnovni_podaci!D20,8,1)="S"),VLOOKUP( T_ApifImport[[#This Row],[ld]], T_Aop[], 4, 0),A1)</f>
        <v>52</v>
      </c>
      <c r="D5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3">
      <c r="B54" s="44">
        <f>IF(AND([0]!Godina=2022,MID(Osnovni_podaci!D20,3,1)="H",Osnovni_podaci!L24=3,Osnovni_podaci!G24=0,MID(Osnovni_podaci!D20,3,1)="H",MID(Osnovni_podaci!D20,8,1)="S"),VLOOKUP( T_ApifImport[[#This Row],[Bilans]], T_Bilansi[], 4, 0),A1)</f>
        <v>25</v>
      </c>
      <c r="C54" s="227">
        <f>IF(AND([0]!Godina=2022,MID(Osnovni_podaci!D20,3,1)="H",Osnovni_podaci!L24=3,Osnovni_podaci!G24=0,MID(Osnovni_podaci!D20,3,1)="H",MID(Osnovni_podaci!D20,8,1)="S"),VLOOKUP( T_ApifImport[[#This Row],[ld]], T_Aop[], 4, 0),A1)</f>
        <v>53</v>
      </c>
      <c r="D5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3">
      <c r="B55" s="44">
        <f>IF(AND([0]!Godina=2022,MID(Osnovni_podaci!D20,3,1)="H",Osnovni_podaci!L24=3,Osnovni_podaci!G24=0,MID(Osnovni_podaci!D20,3,1)="H",MID(Osnovni_podaci!D20,8,1)="S"),VLOOKUP( T_ApifImport[[#This Row],[Bilans]], T_Bilansi[], 4, 0),A1)</f>
        <v>25</v>
      </c>
      <c r="C55" s="227">
        <f>IF(AND([0]!Godina=2022,MID(Osnovni_podaci!D20,3,1)="H",Osnovni_podaci!L24=3,Osnovni_podaci!G24=0,MID(Osnovni_podaci!D20,3,1)="H",MID(Osnovni_podaci!D20,8,1)="S"),VLOOKUP( T_ApifImport[[#This Row],[ld]], T_Aop[], 4, 0),A1)</f>
        <v>54</v>
      </c>
      <c r="D5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3">
      <c r="B56" s="44">
        <f>IF(AND([0]!Godina=2022,MID(Osnovni_podaci!D20,3,1)="H",Osnovni_podaci!L24=3,Osnovni_podaci!G24=0,MID(Osnovni_podaci!D20,3,1)="H",MID(Osnovni_podaci!D20,8,1)="S"),VLOOKUP( T_ApifImport[[#This Row],[Bilans]], T_Bilansi[], 4, 0),A1)</f>
        <v>25</v>
      </c>
      <c r="C56" s="227">
        <f>IF(AND([0]!Godina=2022,MID(Osnovni_podaci!D20,3,1)="H",Osnovni_podaci!L24=3,Osnovni_podaci!G24=0,MID(Osnovni_podaci!D20,3,1)="H",MID(Osnovni_podaci!D20,8,1)="S"),VLOOKUP( T_ApifImport[[#This Row],[ld]], T_Aop[], 4, 0),A1)</f>
        <v>55</v>
      </c>
      <c r="D5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3">
      <c r="B57" s="44">
        <f>IF(AND([0]!Godina=2022,MID(Osnovni_podaci!D20,3,1)="H",Osnovni_podaci!L24=3,Osnovni_podaci!G24=0,MID(Osnovni_podaci!D20,3,1)="H",MID(Osnovni_podaci!D20,8,1)="S"),VLOOKUP( T_ApifImport[[#This Row],[Bilans]], T_Bilansi[], 4, 0),A1)</f>
        <v>25</v>
      </c>
      <c r="C57" s="227">
        <f>IF(AND([0]!Godina=2022,MID(Osnovni_podaci!D20,3,1)="H",Osnovni_podaci!L24=3,Osnovni_podaci!G24=0,MID(Osnovni_podaci!D20,3,1)="H",MID(Osnovni_podaci!D20,8,1)="S"),VLOOKUP( T_ApifImport[[#This Row],[ld]], T_Aop[], 4, 0),A1)</f>
        <v>56</v>
      </c>
      <c r="D5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3">
      <c r="B58" s="44">
        <f>IF(AND([0]!Godina=2022,MID(Osnovni_podaci!D20,3,1)="H",Osnovni_podaci!L24=3,Osnovni_podaci!G24=0,MID(Osnovni_podaci!D20,3,1)="H",MID(Osnovni_podaci!D20,8,1)="S"),VLOOKUP( T_ApifImport[[#This Row],[Bilans]], T_Bilansi[], 4, 0),A1)</f>
        <v>25</v>
      </c>
      <c r="C58" s="227">
        <f>IF(AND([0]!Godina=2022,MID(Osnovni_podaci!D20,3,1)="H",Osnovni_podaci!L24=3,Osnovni_podaci!G24=0,MID(Osnovni_podaci!D20,3,1)="H",MID(Osnovni_podaci!D20,8,1)="S"),VLOOKUP( T_ApifImport[[#This Row],[ld]], T_Aop[], 4, 0),A1)</f>
        <v>57</v>
      </c>
      <c r="D5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3">
      <c r="B59" s="44">
        <f>IF(AND([0]!Godina=2022,MID(Osnovni_podaci!D20,3,1)="H",Osnovni_podaci!L24=3,Osnovni_podaci!G24=0,MID(Osnovni_podaci!D20,3,1)="H",MID(Osnovni_podaci!D20,8,1)="S"),VLOOKUP( T_ApifImport[[#This Row],[Bilans]], T_Bilansi[], 4, 0),A1)</f>
        <v>25</v>
      </c>
      <c r="C59" s="227">
        <f>IF(AND([0]!Godina=2022,MID(Osnovni_podaci!D20,3,1)="H",Osnovni_podaci!L24=3,Osnovni_podaci!G24=0,MID(Osnovni_podaci!D20,3,1)="H",MID(Osnovni_podaci!D20,8,1)="S"),VLOOKUP( T_ApifImport[[#This Row],[ld]], T_Aop[], 4, 0),A1)</f>
        <v>58</v>
      </c>
      <c r="D5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3">
      <c r="B60" s="44">
        <f>IF(AND([0]!Godina=2022,MID(Osnovni_podaci!D20,3,1)="H",Osnovni_podaci!L24=3,Osnovni_podaci!G24=0,MID(Osnovni_podaci!D20,3,1)="H",MID(Osnovni_podaci!D20,8,1)="S"),VLOOKUP( T_ApifImport[[#This Row],[Bilans]], T_Bilansi[], 4, 0),A1)</f>
        <v>25</v>
      </c>
      <c r="C60" s="227">
        <f>IF(AND([0]!Godina=2022,MID(Osnovni_podaci!D20,3,1)="H",Osnovni_podaci!L24=3,Osnovni_podaci!G24=0,MID(Osnovni_podaci!D20,3,1)="H",MID(Osnovni_podaci!D20,8,1)="S"),VLOOKUP( T_ApifImport[[#This Row],[ld]], T_Aop[], 4, 0),A1)</f>
        <v>59</v>
      </c>
      <c r="D6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3">
      <c r="B61" s="44">
        <f>IF(AND([0]!Godina=2022,MID(Osnovni_podaci!D20,3,1)="H",Osnovni_podaci!L24=3,Osnovni_podaci!G24=0,MID(Osnovni_podaci!D20,3,1)="H",MID(Osnovni_podaci!D20,8,1)="S"),VLOOKUP( T_ApifImport[[#This Row],[Bilans]], T_Bilansi[], 4, 0),A1)</f>
        <v>25</v>
      </c>
      <c r="C61" s="227">
        <f>IF(AND([0]!Godina=2022,MID(Osnovni_podaci!D20,3,1)="H",Osnovni_podaci!L24=3,Osnovni_podaci!G24=0,MID(Osnovni_podaci!D20,3,1)="H",MID(Osnovni_podaci!D20,8,1)="S"),VLOOKUP( T_ApifImport[[#This Row],[ld]], T_Aop[], 4, 0),A1)</f>
        <v>60</v>
      </c>
      <c r="D6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3">
      <c r="B62" s="44">
        <f>IF(AND([0]!Godina=2022,MID(Osnovni_podaci!D20,3,1)="H",Osnovni_podaci!L24=3,Osnovni_podaci!G24=0,MID(Osnovni_podaci!D20,3,1)="H",MID(Osnovni_podaci!D20,8,1)="S"),VLOOKUP( T_ApifImport[[#This Row],[Bilans]], T_Bilansi[], 4, 0),A1)</f>
        <v>25</v>
      </c>
      <c r="C62" s="227">
        <f>IF(AND([0]!Godina=2022,MID(Osnovni_podaci!D20,3,1)="H",Osnovni_podaci!L24=3,Osnovni_podaci!G24=0,MID(Osnovni_podaci!D20,3,1)="H",MID(Osnovni_podaci!D20,8,1)="S"),VLOOKUP( T_ApifImport[[#This Row],[ld]], T_Aop[], 4, 0),A1)</f>
        <v>61</v>
      </c>
      <c r="D6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524736</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524736</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645941</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3">
      <c r="B63" s="44">
        <f>IF(AND([0]!Godina=2022,MID(Osnovni_podaci!D20,3,1)="H",Osnovni_podaci!L24=3,Osnovni_podaci!G24=0,MID(Osnovni_podaci!D20,3,1)="H",MID(Osnovni_podaci!D20,8,1)="S"),VLOOKUP( T_ApifImport[[#This Row],[Bilans]], T_Bilansi[], 4, 0),A1)</f>
        <v>25</v>
      </c>
      <c r="C63" s="227">
        <f>IF(AND([0]!Godina=2022,MID(Osnovni_podaci!D20,3,1)="H",Osnovni_podaci!L24=3,Osnovni_podaci!G24=0,MID(Osnovni_podaci!D20,3,1)="H",MID(Osnovni_podaci!D20,8,1)="S"),VLOOKUP( T_ApifImport[[#This Row],[ld]], T_Aop[], 4, 0),A1)</f>
        <v>62</v>
      </c>
      <c r="D6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3">
      <c r="B64" s="44">
        <f>IF(AND([0]!Godina=2022,MID(Osnovni_podaci!D20,3,1)="H",Osnovni_podaci!L24=3,Osnovni_podaci!G24=0,MID(Osnovni_podaci!D20,3,1)="H",MID(Osnovni_podaci!D20,8,1)="S"),VLOOKUP( T_ApifImport[[#This Row],[Bilans]], T_Bilansi[], 4, 0),A1)</f>
        <v>25</v>
      </c>
      <c r="C64" s="227">
        <f>IF(AND([0]!Godina=2022,MID(Osnovni_podaci!D20,3,1)="H",Osnovni_podaci!L24=3,Osnovni_podaci!G24=0,MID(Osnovni_podaci!D20,3,1)="H",MID(Osnovni_podaci!D20,8,1)="S"),VLOOKUP( T_ApifImport[[#This Row],[ld]], T_Aop[], 4, 0),A1)</f>
        <v>63</v>
      </c>
      <c r="D6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524736</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524736</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645941</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3">
      <c r="B65" s="44">
        <f>IF(AND([0]!Godina=2022,MID(Osnovni_podaci!D20,3,1)="H",Osnovni_podaci!L24=3,Osnovni_podaci!G24=0,MID(Osnovni_podaci!D20,3,1)="H",MID(Osnovni_podaci!D20,8,1)="S"),VLOOKUP( T_ApifImport[[#This Row],[Bilans]], T_Bilansi[], 4, 0),A1)</f>
        <v>25</v>
      </c>
      <c r="C65" s="227">
        <f>IF(AND([0]!Godina=2022,MID(Osnovni_podaci!D20,3,1)="H",Osnovni_podaci!L24=3,Osnovni_podaci!G24=0,MID(Osnovni_podaci!D20,3,1)="H",MID(Osnovni_podaci!D20,8,1)="S"),VLOOKUP( T_ApifImport[[#This Row],[ld]], T_Aop[], 4, 0),A1)</f>
        <v>64</v>
      </c>
      <c r="D6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6179</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6179</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4829</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3">
      <c r="B66" s="44">
        <f>IF(AND([0]!Godina=2022,MID(Osnovni_podaci!D20,3,1)="H",Osnovni_podaci!L24=3,Osnovni_podaci!G24=0,MID(Osnovni_podaci!D20,3,1)="H",MID(Osnovni_podaci!D20,8,1)="S"),VLOOKUP( T_ApifImport[[#This Row],[Bilans]], T_Bilansi[], 4, 0),A1)</f>
        <v>25</v>
      </c>
      <c r="C66" s="227">
        <f>IF(AND([0]!Godina=2022,MID(Osnovni_podaci!D20,3,1)="H",Osnovni_podaci!L24=3,Osnovni_podaci!G24=0,MID(Osnovni_podaci!D20,3,1)="H",MID(Osnovni_podaci!D20,8,1)="S"),VLOOKUP( T_ApifImport[[#This Row],[ld]], T_Aop[], 4, 0),A1)</f>
        <v>65</v>
      </c>
      <c r="D6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12551</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12551</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8123</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3">
      <c r="B67" s="44">
        <f>IF(AND([0]!Godina=2022,MID(Osnovni_podaci!D20,3,1)="H",Osnovni_podaci!L24=3,Osnovni_podaci!G24=0,MID(Osnovni_podaci!D20,3,1)="H",MID(Osnovni_podaci!D20,8,1)="S"),VLOOKUP( T_ApifImport[[#This Row],[Bilans]], T_Bilansi[], 4, 0),A1)</f>
        <v>25</v>
      </c>
      <c r="C67" s="229">
        <f>IF(AND([0]!Godina=2022,MID(Osnovni_podaci!D20,3,1)="H",Osnovni_podaci!L24=3,Osnovni_podaci!G24=0,MID(Osnovni_podaci!D20,3,1)="H",MID(Osnovni_podaci!D20,8,1)="S"),VLOOKUP( T_ApifImport[[#This Row],[ld]], T_Aop[], 4, 0),A1)</f>
        <v>66</v>
      </c>
      <c r="D6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12070415</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6648819</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5421596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5927735</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3">
      <c r="B68" s="506">
        <f>IF(AND([0]!Godina=2022,MID(Osnovni_podaci!D20,3,1)="H",Osnovni_podaci!L24=3,Osnovni_podaci!G24=0,MID(Osnovni_podaci!D20,3,1)="H",MID(Osnovni_podaci!D20,8,1)="S"),VLOOKUP( T_ApifImport[[#This Row],[Bilans]], T_Bilansi[], 4, 0),A1)</f>
        <v>25</v>
      </c>
      <c r="C68" s="229">
        <f>IF(AND([0]!Godina=2022,MID(Osnovni_podaci!D20,3,1)="H",Osnovni_podaci!L24=3,Osnovni_podaci!G24=0,MID(Osnovni_podaci!D20,3,1)="H",MID(Osnovni_podaci!D20,8,1)="S"),VLOOKUP( T_ApifImport[[#This Row],[ld]], T_Aop[], 4, 0),A1)</f>
        <v>67</v>
      </c>
      <c r="D6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3">
      <c r="B69" s="44">
        <f>IF(AND([0]!Godina=2022,MID(Osnovni_podaci!D20,3,1)="H",Osnovni_podaci!L24=3,Osnovni_podaci!G24=0,MID(Osnovni_podaci!D20,3,1)="H",MID(Osnovni_podaci!D20,8,1)="S"),VLOOKUP( T_ApifImport[[#This Row],[Bilans]], T_Bilansi[], 4, 0),A1)</f>
        <v>26</v>
      </c>
      <c r="C69" s="227">
        <f>IF(AND([0]!Godina=2022,MID(Osnovni_podaci!D20,3,1)="H",Osnovni_podaci!L24=3,Osnovni_podaci!G24=0,MID(Osnovni_podaci!D20,3,1)="H",MID(Osnovni_podaci!D20,8,1)="S"),VLOOKUP( T_ApifImport[[#This Row],[ld]], T_Aop[], 4, 0),A1)</f>
        <v>101</v>
      </c>
      <c r="D6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4725426</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4270478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3">
      <c r="B70" s="44">
        <f>IF(AND([0]!Godina=2022,MID(Osnovni_podaci!D20,3,1)="H",Osnovni_podaci!L24=3,Osnovni_podaci!G24=0,MID(Osnovni_podaci!D20,3,1)="H",MID(Osnovni_podaci!D20,8,1)="S"),VLOOKUP( T_ApifImport[[#This Row],[Bilans]], T_Bilansi[], 4, 0),A1)</f>
        <v>26</v>
      </c>
      <c r="C70" s="227">
        <f>IF(AND([0]!Godina=2022,MID(Osnovni_podaci!D20,3,1)="H",Osnovni_podaci!L24=3,Osnovni_podaci!G24=0,MID(Osnovni_podaci!D20,3,1)="H",MID(Osnovni_podaci!D20,8,1)="S"),VLOOKUP( T_ApifImport[[#This Row],[ld]], T_Aop[], 4, 0),A1)</f>
        <v>102</v>
      </c>
      <c r="D7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1177999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3">
      <c r="B71" s="44">
        <f>IF(AND([0]!Godina=2022,MID(Osnovni_podaci!D20,3,1)="H",Osnovni_podaci!L24=3,Osnovni_podaci!G24=0,MID(Osnovni_podaci!D20,3,1)="H",MID(Osnovni_podaci!D20,8,1)="S"),VLOOKUP( T_ApifImport[[#This Row],[Bilans]], T_Bilansi[], 4, 0),A1)</f>
        <v>26</v>
      </c>
      <c r="C71" s="227">
        <f>IF(AND([0]!Godina=2022,MID(Osnovni_podaci!D20,3,1)="H",Osnovni_podaci!L24=3,Osnovni_podaci!G24=0,MID(Osnovni_podaci!D20,3,1)="H",MID(Osnovni_podaci!D20,8,1)="S"),VLOOKUP( T_ApifImport[[#This Row],[ld]], T_Aop[], 4, 0),A1)</f>
        <v>103</v>
      </c>
      <c r="D7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1177999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3">
      <c r="B72" s="44">
        <f>IF(AND([0]!Godina=2022,MID(Osnovni_podaci!D20,3,1)="H",Osnovni_podaci!L24=3,Osnovni_podaci!G24=0,MID(Osnovni_podaci!D20,3,1)="H",MID(Osnovni_podaci!D20,8,1)="S"),VLOOKUP( T_ApifImport[[#This Row],[Bilans]], T_Bilansi[], 4, 0),A1)</f>
        <v>26</v>
      </c>
      <c r="C72" s="227">
        <f>IF(AND([0]!Godina=2022,MID(Osnovni_podaci!D20,3,1)="H",Osnovni_podaci!L24=3,Osnovni_podaci!G24=0,MID(Osnovni_podaci!D20,3,1)="H",MID(Osnovni_podaci!D20,8,1)="S"),VLOOKUP( T_ApifImport[[#This Row],[ld]], T_Aop[], 4, 0),A1)</f>
        <v>104</v>
      </c>
      <c r="D7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1177999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3">
      <c r="B73" s="44">
        <f>IF(AND([0]!Godina=2022,MID(Osnovni_podaci!D20,3,1)="H",Osnovni_podaci!L24=3,Osnovni_podaci!G24=0,MID(Osnovni_podaci!D20,3,1)="H",MID(Osnovni_podaci!D20,8,1)="S"),VLOOKUP( T_ApifImport[[#This Row],[Bilans]], T_Bilansi[], 4, 0),A1)</f>
        <v>26</v>
      </c>
      <c r="C73" s="227">
        <f>IF(AND([0]!Godina=2022,MID(Osnovni_podaci!D20,3,1)="H",Osnovni_podaci!L24=3,Osnovni_podaci!G24=0,MID(Osnovni_podaci!D20,3,1)="H",MID(Osnovni_podaci!D20,8,1)="S"),VLOOKUP( T_ApifImport[[#This Row],[ld]], T_Aop[], 4, 0),A1)</f>
        <v>105</v>
      </c>
      <c r="D7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3">
      <c r="B74" s="44">
        <f>IF(AND([0]!Godina=2022,MID(Osnovni_podaci!D20,3,1)="H",Osnovni_podaci!L24=3,Osnovni_podaci!G24=0,MID(Osnovni_podaci!D20,3,1)="H",MID(Osnovni_podaci!D20,8,1)="S"),VLOOKUP( T_ApifImport[[#This Row],[Bilans]], T_Bilansi[], 4, 0),A1)</f>
        <v>26</v>
      </c>
      <c r="C74" s="227">
        <f>IF(AND([0]!Godina=2022,MID(Osnovni_podaci!D20,3,1)="H",Osnovni_podaci!L24=3,Osnovni_podaci!G24=0,MID(Osnovni_podaci!D20,3,1)="H",MID(Osnovni_podaci!D20,8,1)="S"),VLOOKUP( T_ApifImport[[#This Row],[ld]], T_Aop[], 4, 0),A1)</f>
        <v>106</v>
      </c>
      <c r="D7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3">
      <c r="B75" s="44">
        <f>IF(AND([0]!Godina=2022,MID(Osnovni_podaci!D20,3,1)="H",Osnovni_podaci!L24=3,Osnovni_podaci!G24=0,MID(Osnovni_podaci!D20,3,1)="H",MID(Osnovni_podaci!D20,8,1)="S"),VLOOKUP( T_ApifImport[[#This Row],[Bilans]], T_Bilansi[], 4, 0),A1)</f>
        <v>26</v>
      </c>
      <c r="C75" s="227">
        <f>IF(AND([0]!Godina=2022,MID(Osnovni_podaci!D20,3,1)="H",Osnovni_podaci!L24=3,Osnovni_podaci!G24=0,MID(Osnovni_podaci!D20,3,1)="H",MID(Osnovni_podaci!D20,8,1)="S"),VLOOKUP( T_ApifImport[[#This Row],[ld]], T_Aop[], 4, 0),A1)</f>
        <v>107</v>
      </c>
      <c r="D7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3">
      <c r="B76" s="44">
        <f>IF(AND([0]!Godina=2022,MID(Osnovni_podaci!D20,3,1)="H",Osnovni_podaci!L24=3,Osnovni_podaci!G24=0,MID(Osnovni_podaci!D20,3,1)="H",MID(Osnovni_podaci!D20,8,1)="S"),VLOOKUP( T_ApifImport[[#This Row],[Bilans]], T_Bilansi[], 4, 0),A1)</f>
        <v>26</v>
      </c>
      <c r="C76" s="227">
        <f>IF(AND([0]!Godina=2022,MID(Osnovni_podaci!D20,3,1)="H",Osnovni_podaci!L24=3,Osnovni_podaci!G24=0,MID(Osnovni_podaci!D20,3,1)="H",MID(Osnovni_podaci!D20,8,1)="S"),VLOOKUP( T_ApifImport[[#This Row],[ld]], T_Aop[], 4, 0),A1)</f>
        <v>108</v>
      </c>
      <c r="D7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3">
      <c r="B77" s="44">
        <f>IF(AND([0]!Godina=2022,MID(Osnovni_podaci!D20,3,1)="H",Osnovni_podaci!L24=3,Osnovni_podaci!G24=0,MID(Osnovni_podaci!D20,3,1)="H",MID(Osnovni_podaci!D20,8,1)="S"),VLOOKUP( T_ApifImport[[#This Row],[Bilans]], T_Bilansi[], 4, 0),A1)</f>
        <v>26</v>
      </c>
      <c r="C77" s="227">
        <f>IF(AND([0]!Godina=2022,MID(Osnovni_podaci!D20,3,1)="H",Osnovni_podaci!L24=3,Osnovni_podaci!G24=0,MID(Osnovni_podaci!D20,3,1)="H",MID(Osnovni_podaci!D20,8,1)="S"),VLOOKUP( T_ApifImport[[#This Row],[ld]], T_Aop[], 4, 0),A1)</f>
        <v>109</v>
      </c>
      <c r="D7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3">
      <c r="B78" s="44">
        <f>IF(AND([0]!Godina=2022,MID(Osnovni_podaci!D20,3,1)="H",Osnovni_podaci!L24=3,Osnovni_podaci!G24=0,MID(Osnovni_podaci!D20,3,1)="H",MID(Osnovni_podaci!D20,8,1)="S"),VLOOKUP( T_ApifImport[[#This Row],[Bilans]], T_Bilansi[], 4, 0),A1)</f>
        <v>26</v>
      </c>
      <c r="C78" s="227">
        <f>IF(AND([0]!Godina=2022,MID(Osnovni_podaci!D20,3,1)="H",Osnovni_podaci!L24=3,Osnovni_podaci!G24=0,MID(Osnovni_podaci!D20,3,1)="H",MID(Osnovni_podaci!D20,8,1)="S"),VLOOKUP( T_ApifImport[[#This Row],[ld]], T_Aop[], 4, 0),A1)</f>
        <v>110</v>
      </c>
      <c r="D7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3">
      <c r="B79" s="44">
        <f>IF(AND([0]!Godina=2022,MID(Osnovni_podaci!D20,3,1)="H",Osnovni_podaci!L24=3,Osnovni_podaci!G24=0,MID(Osnovni_podaci!D20,3,1)="H",MID(Osnovni_podaci!D20,8,1)="S"),VLOOKUP( T_ApifImport[[#This Row],[Bilans]], T_Bilansi[], 4, 0),A1)</f>
        <v>26</v>
      </c>
      <c r="C79" s="227">
        <f>IF(AND([0]!Godina=2022,MID(Osnovni_podaci!D20,3,1)="H",Osnovni_podaci!L24=3,Osnovni_podaci!G24=0,MID(Osnovni_podaci!D20,3,1)="H",MID(Osnovni_podaci!D20,8,1)="S"),VLOOKUP( T_ApifImport[[#This Row],[ld]], T_Aop[], 4, 0),A1)</f>
        <v>111</v>
      </c>
      <c r="D7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3">
      <c r="B80" s="44">
        <f>IF(AND([0]!Godina=2022,MID(Osnovni_podaci!D20,3,1)="H",Osnovni_podaci!L24=3,Osnovni_podaci!G24=0,MID(Osnovni_podaci!D20,3,1)="H",MID(Osnovni_podaci!D20,8,1)="S"),VLOOKUP( T_ApifImport[[#This Row],[Bilans]], T_Bilansi[], 4, 0),A1)</f>
        <v>26</v>
      </c>
      <c r="C80" s="227">
        <f>IF(AND([0]!Godina=2022,MID(Osnovni_podaci!D20,3,1)="H",Osnovni_podaci!L24=3,Osnovni_podaci!G24=0,MID(Osnovni_podaci!D20,3,1)="H",MID(Osnovni_podaci!D20,8,1)="S"),VLOOKUP( T_ApifImport[[#This Row],[ld]], T_Aop[], 4, 0),A1)</f>
        <v>112</v>
      </c>
      <c r="D8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3">
      <c r="B81" s="44">
        <f>IF(AND([0]!Godina=2022,MID(Osnovni_podaci!D20,3,1)="H",Osnovni_podaci!L24=3,Osnovni_podaci!G24=0,MID(Osnovni_podaci!D20,3,1)="H",MID(Osnovni_podaci!D20,8,1)="S"),VLOOKUP( T_ApifImport[[#This Row],[Bilans]], T_Bilansi[], 4, 0),A1)</f>
        <v>26</v>
      </c>
      <c r="C81" s="227">
        <f>IF(AND([0]!Godina=2022,MID(Osnovni_podaci!D20,3,1)="H",Osnovni_podaci!L24=3,Osnovni_podaci!G24=0,MID(Osnovni_podaci!D20,3,1)="H",MID(Osnovni_podaci!D20,8,1)="S"),VLOOKUP( T_ApifImport[[#This Row],[ld]], T_Aop[], 4, 0),A1)</f>
        <v>113</v>
      </c>
      <c r="D8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3">
      <c r="B82" s="44">
        <f>IF(AND([0]!Godina=2022,MID(Osnovni_podaci!D20,3,1)="H",Osnovni_podaci!L24=3,Osnovni_podaci!G24=0,MID(Osnovni_podaci!D20,3,1)="H",MID(Osnovni_podaci!D20,8,1)="S"),VLOOKUP( T_ApifImport[[#This Row],[Bilans]], T_Bilansi[], 4, 0),A1)</f>
        <v>26</v>
      </c>
      <c r="C82" s="227">
        <f>IF(AND([0]!Godina=2022,MID(Osnovni_podaci!D20,3,1)="H",Osnovni_podaci!L24=3,Osnovni_podaci!G24=0,MID(Osnovni_podaci!D20,3,1)="H",MID(Osnovni_podaci!D20,8,1)="S"),VLOOKUP( T_ApifImport[[#This Row],[ld]], T_Aop[], 4, 0),A1)</f>
        <v>114</v>
      </c>
      <c r="D8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3">
      <c r="B83" s="44">
        <f>IF(AND([0]!Godina=2022,MID(Osnovni_podaci!D20,3,1)="H",Osnovni_podaci!L24=3,Osnovni_podaci!G24=0,MID(Osnovni_podaci!D20,3,1)="H",MID(Osnovni_podaci!D20,8,1)="S"),VLOOKUP( T_ApifImport[[#This Row],[Bilans]], T_Bilansi[], 4, 0),A1)</f>
        <v>26</v>
      </c>
      <c r="C83" s="227">
        <f>IF(AND([0]!Godina=2022,MID(Osnovni_podaci!D20,3,1)="H",Osnovni_podaci!L24=3,Osnovni_podaci!G24=0,MID(Osnovni_podaci!D20,3,1)="H",MID(Osnovni_podaci!D20,8,1)="S"),VLOOKUP( T_ApifImport[[#This Row],[ld]], T_Aop[], 4, 0),A1)</f>
        <v>115</v>
      </c>
      <c r="D8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2255014</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1521849</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3">
      <c r="B84" s="44">
        <f>IF(AND([0]!Godina=2022,MID(Osnovni_podaci!D20,3,1)="H",Osnovni_podaci!L24=3,Osnovni_podaci!G24=0,MID(Osnovni_podaci!D20,3,1)="H",MID(Osnovni_podaci!D20,8,1)="S"),VLOOKUP( T_ApifImport[[#This Row],[Bilans]], T_Bilansi[], 4, 0),A1)</f>
        <v>26</v>
      </c>
      <c r="C84" s="227">
        <f>IF(AND([0]!Godina=2022,MID(Osnovni_podaci!D20,3,1)="H",Osnovni_podaci!L24=3,Osnovni_podaci!G24=0,MID(Osnovni_podaci!D20,3,1)="H",MID(Osnovni_podaci!D20,8,1)="S"),VLOOKUP( T_ApifImport[[#This Row],[ld]], T_Aop[], 4, 0),A1)</f>
        <v>116</v>
      </c>
      <c r="D8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144261</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107603</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3">
      <c r="B85" s="44">
        <f>IF(AND([0]!Godina=2022,MID(Osnovni_podaci!D20,3,1)="H",Osnovni_podaci!L24=3,Osnovni_podaci!G24=0,MID(Osnovni_podaci!D20,3,1)="H",MID(Osnovni_podaci!D20,8,1)="S"),VLOOKUP( T_ApifImport[[#This Row],[Bilans]], T_Bilansi[], 4, 0),A1)</f>
        <v>26</v>
      </c>
      <c r="C85" s="227">
        <f>IF(AND([0]!Godina=2022,MID(Osnovni_podaci!D20,3,1)="H",Osnovni_podaci!L24=3,Osnovni_podaci!G24=0,MID(Osnovni_podaci!D20,3,1)="H",MID(Osnovni_podaci!D20,8,1)="S"),VLOOKUP( T_ApifImport[[#This Row],[ld]], T_Aop[], 4, 0),A1)</f>
        <v>117</v>
      </c>
      <c r="D8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2110753</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1414246</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3">
      <c r="B86" s="44">
        <f>IF(AND([0]!Godina=2022,MID(Osnovni_podaci!D20,3,1)="H",Osnovni_podaci!L24=3,Osnovni_podaci!G24=0,MID(Osnovni_podaci!D20,3,1)="H",MID(Osnovni_podaci!D20,8,1)="S"),VLOOKUP( T_ApifImport[[#This Row],[Bilans]], T_Bilansi[], 4, 0),A1)</f>
        <v>26</v>
      </c>
      <c r="C86" s="227">
        <f>IF(AND([0]!Godina=2022,MID(Osnovni_podaci!D20,3,1)="H",Osnovni_podaci!L24=3,Osnovni_podaci!G24=0,MID(Osnovni_podaci!D20,3,1)="H",MID(Osnovni_podaci!D20,8,1)="S"),VLOOKUP( T_ApifImport[[#This Row],[ld]], T_Aop[], 4, 0),A1)</f>
        <v>118</v>
      </c>
      <c r="D8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3">
      <c r="B87" s="44">
        <f>IF(AND([0]!Godina=2022,MID(Osnovni_podaci!D20,3,1)="H",Osnovni_podaci!L24=3,Osnovni_podaci!G24=0,MID(Osnovni_podaci!D20,3,1)="H",MID(Osnovni_podaci!D20,8,1)="S"),VLOOKUP( T_ApifImport[[#This Row],[Bilans]], T_Bilansi[], 4, 0),A1)</f>
        <v>26</v>
      </c>
      <c r="C87" s="227">
        <f>IF(AND([0]!Godina=2022,MID(Osnovni_podaci!D20,3,1)="H",Osnovni_podaci!L24=3,Osnovni_podaci!G24=0,MID(Osnovni_podaci!D20,3,1)="H",MID(Osnovni_podaci!D20,8,1)="S"),VLOOKUP( T_ApifImport[[#This Row],[ld]], T_Aop[], 4, 0),A1)</f>
        <v>119</v>
      </c>
      <c r="D8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837465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837465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3">
      <c r="B88" s="44">
        <f>IF(AND([0]!Godina=2022,MID(Osnovni_podaci!D20,3,1)="H",Osnovni_podaci!L24=3,Osnovni_podaci!G24=0,MID(Osnovni_podaci!D20,3,1)="H",MID(Osnovni_podaci!D20,8,1)="S"),VLOOKUP( T_ApifImport[[#This Row],[Bilans]], T_Bilansi[], 4, 0),A1)</f>
        <v>26</v>
      </c>
      <c r="C88" s="227">
        <f>IF(AND([0]!Godina=2022,MID(Osnovni_podaci!D20,3,1)="H",Osnovni_podaci!L24=3,Osnovni_podaci!G24=0,MID(Osnovni_podaci!D20,3,1)="H",MID(Osnovni_podaci!D20,8,1)="S"),VLOOKUP( T_ApifImport[[#This Row],[ld]], T_Aop[], 4, 0),A1)</f>
        <v>120</v>
      </c>
      <c r="D8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3">
      <c r="B89" s="44">
        <f>IF(AND([0]!Godina=2022,MID(Osnovni_podaci!D20,3,1)="H",Osnovni_podaci!L24=3,Osnovni_podaci!G24=0,MID(Osnovni_podaci!D20,3,1)="H",MID(Osnovni_podaci!D20,8,1)="S"),VLOOKUP( T_ApifImport[[#This Row],[Bilans]], T_Bilansi[], 4, 0),A1)</f>
        <v>26</v>
      </c>
      <c r="C89" s="227">
        <f>IF(AND([0]!Godina=2022,MID(Osnovni_podaci!D20,3,1)="H",Osnovni_podaci!L24=3,Osnovni_podaci!G24=0,MID(Osnovni_podaci!D20,3,1)="H",MID(Osnovni_podaci!D20,8,1)="S"),VLOOKUP( T_ApifImport[[#This Row],[ld]], T_Aop[], 4, 0),A1)</f>
        <v>121</v>
      </c>
      <c r="D8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837465</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837465</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3">
      <c r="B90" s="44">
        <f>IF(AND([0]!Godina=2022,MID(Osnovni_podaci!D20,3,1)="H",Osnovni_podaci!L24=3,Osnovni_podaci!G24=0,MID(Osnovni_podaci!D20,3,1)="H",MID(Osnovni_podaci!D20,8,1)="S"),VLOOKUP( T_ApifImport[[#This Row],[Bilans]], T_Bilansi[], 4, 0),A1)</f>
        <v>26</v>
      </c>
      <c r="C90" s="227">
        <f>IF(AND([0]!Godina=2022,MID(Osnovni_podaci!D20,3,1)="H",Osnovni_podaci!L24=3,Osnovni_podaci!G24=0,MID(Osnovni_podaci!D20,3,1)="H",MID(Osnovni_podaci!D20,8,1)="S"),VLOOKUP( T_ApifImport[[#This Row],[ld]], T_Aop[], 4, 0),A1)</f>
        <v>122</v>
      </c>
      <c r="D9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3">
      <c r="B91" s="44">
        <f>IF(AND([0]!Godina=2022,MID(Osnovni_podaci!D20,3,1)="H",Osnovni_podaci!L24=3,Osnovni_podaci!G24=0,MID(Osnovni_podaci!D20,3,1)="H",MID(Osnovni_podaci!D20,8,1)="S"),VLOOKUP( T_ApifImport[[#This Row],[Bilans]], T_Bilansi[], 4, 0),A1)</f>
        <v>26</v>
      </c>
      <c r="C91" s="227">
        <f>IF(AND([0]!Godina=2022,MID(Osnovni_podaci!D20,3,1)="H",Osnovni_podaci!L24=3,Osnovni_podaci!G24=0,MID(Osnovni_podaci!D20,3,1)="H",MID(Osnovni_podaci!D20,8,1)="S"),VLOOKUP( T_ApifImport[[#This Row],[ld]], T_Aop[], 4, 0),A1)</f>
        <v>123</v>
      </c>
      <c r="D91"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3">
      <c r="B92" s="44">
        <f>IF(AND([0]!Godina=2022,MID(Osnovni_podaci!D20,3,1)="H",Osnovni_podaci!L24=3,Osnovni_podaci!G24=0,MID(Osnovni_podaci!D20,3,1)="H",MID(Osnovni_podaci!D20,8,1)="S"),VLOOKUP( T_ApifImport[[#This Row],[Bilans]], T_Bilansi[], 4, 0),A1)</f>
        <v>26</v>
      </c>
      <c r="C92" s="227">
        <f>IF(AND([0]!Godina=2022,MID(Osnovni_podaci!D20,3,1)="H",Osnovni_podaci!L24=3,Osnovni_podaci!G24=0,MID(Osnovni_podaci!D20,3,1)="H",MID(Osnovni_podaci!D20,8,1)="S"),VLOOKUP( T_ApifImport[[#This Row],[ld]], T_Aop[], 4, 0),A1)</f>
        <v>124</v>
      </c>
      <c r="D92"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733165</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3">
      <c r="B93" s="44">
        <f>IF(AND([0]!Godina=2022,MID(Osnovni_podaci!D20,3,1)="H",Osnovni_podaci!L24=3,Osnovni_podaci!G24=0,MID(Osnovni_podaci!D20,3,1)="H",MID(Osnovni_podaci!D20,8,1)="S"),VLOOKUP( T_ApifImport[[#This Row],[Bilans]], T_Bilansi[], 4, 0),A1)</f>
        <v>26</v>
      </c>
      <c r="C93" s="227">
        <f>IF(AND([0]!Godina=2022,MID(Osnovni_podaci!D20,3,1)="H",Osnovni_podaci!L24=3,Osnovni_podaci!G24=0,MID(Osnovni_podaci!D20,3,1)="H",MID(Osnovni_podaci!D20,8,1)="S"),VLOOKUP( T_ApifImport[[#This Row],[ld]], T_Aop[], 4, 0),A1)</f>
        <v>125</v>
      </c>
      <c r="D93"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3">
      <c r="B94" s="44">
        <f>IF(AND([0]!Godina=2022,MID(Osnovni_podaci!D20,3,1)="H",Osnovni_podaci!L24=3,Osnovni_podaci!G24=0,MID(Osnovni_podaci!D20,3,1)="H",MID(Osnovni_podaci!D20,8,1)="S"),VLOOKUP( T_ApifImport[[#This Row],[Bilans]], T_Bilansi[], 4, 0),A1)</f>
        <v>26</v>
      </c>
      <c r="C94" s="227">
        <f>IF(AND([0]!Godina=2022,MID(Osnovni_podaci!D20,3,1)="H",Osnovni_podaci!L24=3,Osnovni_podaci!G24=0,MID(Osnovni_podaci!D20,3,1)="H",MID(Osnovni_podaci!D20,8,1)="S"),VLOOKUP( T_ApifImport[[#This Row],[ld]], T_Aop[], 4, 0),A1)</f>
        <v>126</v>
      </c>
      <c r="D94"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733165</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3">
      <c r="B95" s="44">
        <f>IF(AND([0]!Godina=2022,MID(Osnovni_podaci!D20,3,1)="H",Osnovni_podaci!L24=3,Osnovni_podaci!G24=0,MID(Osnovni_podaci!D20,3,1)="H",MID(Osnovni_podaci!D20,8,1)="S"),VLOOKUP( T_ApifImport[[#This Row],[Bilans]], T_Bilansi[], 4, 0),A1)</f>
        <v>26</v>
      </c>
      <c r="C95" s="227">
        <f>IF(AND([0]!Godina=2022,MID(Osnovni_podaci!D20,3,1)="H",Osnovni_podaci!L24=3,Osnovni_podaci!G24=0,MID(Osnovni_podaci!D20,3,1)="H",MID(Osnovni_podaci!D20,8,1)="S"),VLOOKUP( T_ApifImport[[#This Row],[ld]], T_Aop[], 4, 0),A1)</f>
        <v>127</v>
      </c>
      <c r="D95"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3">
      <c r="B96" s="44">
        <f>IF(AND([0]!Godina=2022,MID(Osnovni_podaci!D20,3,1)="H",Osnovni_podaci!L24=3,Osnovni_podaci!G24=0,MID(Osnovni_podaci!D20,3,1)="H",MID(Osnovni_podaci!D20,8,1)="S"),VLOOKUP( T_ApifImport[[#This Row],[Bilans]], T_Bilansi[], 4, 0),A1)</f>
        <v>26</v>
      </c>
      <c r="C96" s="227">
        <f>IF(AND([0]!Godina=2022,MID(Osnovni_podaci!D20,3,1)="H",Osnovni_podaci!L24=3,Osnovni_podaci!G24=0,MID(Osnovni_podaci!D20,3,1)="H",MID(Osnovni_podaci!D20,8,1)="S"),VLOOKUP( T_ApifImport[[#This Row],[ld]], T_Aop[], 4, 0),A1)</f>
        <v>128</v>
      </c>
      <c r="D96"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3">
      <c r="B97" s="44">
        <f>IF(AND([0]!Godina=2022,MID(Osnovni_podaci!D20,3,1)="H",Osnovni_podaci!L24=3,Osnovni_podaci!G24=0,MID(Osnovni_podaci!D20,3,1)="H",MID(Osnovni_podaci!D20,8,1)="S"),VLOOKUP( T_ApifImport[[#This Row],[Bilans]], T_Bilansi[], 4, 0),A1)</f>
        <v>26</v>
      </c>
      <c r="C97" s="227">
        <f>IF(AND([0]!Godina=2022,MID(Osnovni_podaci!D20,3,1)="H",Osnovni_podaci!L24=3,Osnovni_podaci!G24=0,MID(Osnovni_podaci!D20,3,1)="H",MID(Osnovni_podaci!D20,8,1)="S"),VLOOKUP( T_ApifImport[[#This Row],[ld]], T_Aop[], 4, 0),A1)</f>
        <v>129</v>
      </c>
      <c r="D97"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3">
      <c r="B98" s="44">
        <f>IF(AND([0]!Godina=2022,MID(Osnovni_podaci!D20,3,1)="H",Osnovni_podaci!L24=3,Osnovni_podaci!G24=0,MID(Osnovni_podaci!D20,3,1)="H",MID(Osnovni_podaci!D20,8,1)="S"),VLOOKUP( T_ApifImport[[#This Row],[Bilans]], T_Bilansi[], 4, 0),A1)</f>
        <v>26</v>
      </c>
      <c r="C98" s="227">
        <f>IF(AND([0]!Godina=2022,MID(Osnovni_podaci!D20,3,1)="H",Osnovni_podaci!L24=3,Osnovni_podaci!G24=0,MID(Osnovni_podaci!D20,3,1)="H",MID(Osnovni_podaci!D20,8,1)="S"),VLOOKUP( T_ApifImport[[#This Row],[ld]], T_Aop[], 4, 0),A1)</f>
        <v>130</v>
      </c>
      <c r="D98"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3">
      <c r="B99" s="44">
        <f>IF(AND([0]!Godina=2022,MID(Osnovni_podaci!D20,3,1)="H",Osnovni_podaci!L24=3,Osnovni_podaci!G24=0,MID(Osnovni_podaci!D20,3,1)="H",MID(Osnovni_podaci!D20,8,1)="S"),VLOOKUP( T_ApifImport[[#This Row],[Bilans]], T_Bilansi[], 4, 0),A1)</f>
        <v>26</v>
      </c>
      <c r="C99" s="227">
        <f>IF(AND([0]!Godina=2022,MID(Osnovni_podaci!D20,3,1)="H",Osnovni_podaci!L24=3,Osnovni_podaci!G24=0,MID(Osnovni_podaci!D20,3,1)="H",MID(Osnovni_podaci!D20,8,1)="S"),VLOOKUP( T_ApifImport[[#This Row],[ld]], T_Aop[], 4, 0),A1)</f>
        <v>131</v>
      </c>
      <c r="D99"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3">
      <c r="B100" s="44">
        <f>IF(AND([0]!Godina=2022,MID(Osnovni_podaci!D20,3,1)="H",Osnovni_podaci!L24=3,Osnovni_podaci!G24=0,MID(Osnovni_podaci!D20,3,1)="H",MID(Osnovni_podaci!D20,8,1)="S"),VLOOKUP( T_ApifImport[[#This Row],[Bilans]], T_Bilansi[], 4, 0),A1)</f>
        <v>26</v>
      </c>
      <c r="C100" s="227">
        <f>IF(AND([0]!Godina=2022,MID(Osnovni_podaci!D20,3,1)="H",Osnovni_podaci!L24=3,Osnovni_podaci!G24=0,MID(Osnovni_podaci!D20,3,1)="H",MID(Osnovni_podaci!D20,8,1)="S"),VLOOKUP( T_ApifImport[[#This Row],[ld]], T_Aop[], 4, 0),A1)</f>
        <v>132</v>
      </c>
      <c r="D100" s="227" t="str">
        <f ca="1">IF(AND([0]!Godina=2022,MID(Osnovni_podaci!D20,3,1)="H",Osnovni_podaci!L24=3,Osnovni_podaci!G24=0,MID(Osnovni_podaci!D20,3,1)="H",MID(Osnovni_podaci!D20,8,1)="S"),IF(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3">
      <c r="B101" s="44">
        <f>VLOOKUP( T_ApifImport[[#This Row],[Bilans]], T_Bilansi[], 4, 0)</f>
        <v>26</v>
      </c>
      <c r="C101" s="227">
        <f>IF(AND([0]!Godina=2022,MID(Osnovni_podaci!D20,3,1)="H",Osnovni_podaci!L24=3,Osnovni_podaci!G24=0,MID(Osnovni_podaci!D20,3,1)="H",MID(Osnovni_podaci!D20,8,1)="S"),VLOOKUP(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3">
      <c r="B102" s="44">
        <f>VLOOKUP( T_ApifImport[[#This Row],[Bilans]], T_Bilansi[], 4, 0)</f>
        <v>26</v>
      </c>
      <c r="C102" s="227">
        <f>IF(AND([0]!Godina=2022,MID(Osnovni_podaci!D20,3,1)="H",Osnovni_podaci!L24=3,Osnovni_podaci!G24=0,MID(Osnovni_podaci!D20,3,1)="H",MID(Osnovni_podaci!D20,8,1)="S"),VLOOKUP(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3">
      <c r="B103" s="44">
        <f>VLOOKUP( T_ApifImport[[#This Row],[Bilans]], T_Bilansi[], 4, 0)</f>
        <v>26</v>
      </c>
      <c r="C103" s="227">
        <f>IF(AND([0]!Godina=2022,MID(Osnovni_podaci!D20,3,1)="H",Osnovni_podaci!L24=3,Osnovni_podaci!G24=0,MID(Osnovni_podaci!D20,3,1)="H",MID(Osnovni_podaci!D20,8,1)="S"),VLOOKUP(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3">
      <c r="B104" s="44">
        <f>VLOOKUP( T_ApifImport[[#This Row],[Bilans]], T_Bilansi[], 4, 0)</f>
        <v>26</v>
      </c>
      <c r="C104" s="227">
        <f>IF(AND([0]!Godina=2022,MID(Osnovni_podaci!D20,3,1)="H",Osnovni_podaci!L24=3,Osnovni_podaci!G24=0,MID(Osnovni_podaci!D20,3,1)="H",MID(Osnovni_podaci!D20,8,1)="S"),VLOOKUP(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3">
      <c r="B105" s="44">
        <f>VLOOKUP( T_ApifImport[[#This Row],[Bilans]], T_Bilansi[], 4, 0)</f>
        <v>26</v>
      </c>
      <c r="C105" s="227">
        <f>IF(AND([0]!Godina=2022,MID(Osnovni_podaci!D20,3,1)="H",Osnovni_podaci!L24=3,Osnovni_podaci!G24=0,MID(Osnovni_podaci!D20,3,1)="H",MID(Osnovni_podaci!D20,8,1)="S"),VLOOKUP(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3">
      <c r="B106" s="44">
        <f>VLOOKUP( T_ApifImport[[#This Row],[Bilans]], T_Bilansi[], 4, 0)</f>
        <v>26</v>
      </c>
      <c r="C106" s="227">
        <f>IF(AND([0]!Godina=2022,MID(Osnovni_podaci!D20,3,1)="H",Osnovni_podaci!L24=3,Osnovni_podaci!G24=0,MID(Osnovni_podaci!D20,3,1)="H",MID(Osnovni_podaci!D20,8,1)="S"),VLOOKUP(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3">
      <c r="B107" s="44">
        <f>VLOOKUP( T_ApifImport[[#This Row],[Bilans]], T_Bilansi[], 4, 0)</f>
        <v>26</v>
      </c>
      <c r="C107" s="227">
        <f>IF(AND([0]!Godina=2022,MID(Osnovni_podaci!D20,3,1)="H",Osnovni_podaci!L24=3,Osnovni_podaci!G24=0,MID(Osnovni_podaci!D20,3,1)="H",MID(Osnovni_podaci!D20,8,1)="S"),VLOOKUP(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3">
      <c r="B108" s="44">
        <f>VLOOKUP( T_ApifImport[[#This Row],[Bilans]], T_Bilansi[], 4, 0)</f>
        <v>26</v>
      </c>
      <c r="C108" s="227">
        <f>IF(AND([0]!Godina=2022,MID(Osnovni_podaci!D20,3,1)="H",Osnovni_podaci!L24=3,Osnovni_podaci!G24=0,MID(Osnovni_podaci!D20,3,1)="H",MID(Osnovni_podaci!D20,8,1)="S"),VLOOKUP(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3">
      <c r="B109" s="44">
        <f>VLOOKUP( T_ApifImport[[#This Row],[Bilans]], T_Bilansi[], 4, 0)</f>
        <v>26</v>
      </c>
      <c r="C109" s="227">
        <f>IF(AND([0]!Godina=2022,MID(Osnovni_podaci!D20,3,1)="H",Osnovni_podaci!L24=3,Osnovni_podaci!G24=0,MID(Osnovni_podaci!D20,3,1)="H",MID(Osnovni_podaci!D20,8,1)="S"),VLOOKUP(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3">
      <c r="B110" s="44">
        <f>VLOOKUP( T_ApifImport[[#This Row],[Bilans]], T_Bilansi[], 4, 0)</f>
        <v>26</v>
      </c>
      <c r="C110" s="227">
        <f>IF(AND([0]!Godina=2022,MID(Osnovni_podaci!D20,3,1)="H",Osnovni_podaci!L24=3,Osnovni_podaci!G24=0,MID(Osnovni_podaci!D20,3,1)="H",MID(Osnovni_podaci!D20,8,1)="S"),VLOOKUP(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3">
      <c r="B111" s="44">
        <f>VLOOKUP( T_ApifImport[[#This Row],[Bilans]], T_Bilansi[], 4, 0)</f>
        <v>26</v>
      </c>
      <c r="C111" s="227">
        <f>IF(AND([0]!Godina=2022,MID(Osnovni_podaci!D20,3,1)="H",Osnovni_podaci!L24=3,Osnovni_podaci!G24=0,MID(Osnovni_podaci!D20,3,1)="H",MID(Osnovni_podaci!D20,8,1)="S"),VLOOKUP(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3">
      <c r="B112" s="44">
        <f>VLOOKUP( T_ApifImport[[#This Row],[Bilans]], T_Bilansi[], 4, 0)</f>
        <v>26</v>
      </c>
      <c r="C112" s="227">
        <f>IF(AND([0]!Godina=2022,MID(Osnovni_podaci!D20,3,1)="H",Osnovni_podaci!L24=3,Osnovni_podaci!G24=0,MID(Osnovni_podaci!D20,3,1)="H",MID(Osnovni_podaci!D20,8,1)="S"),VLOOKUP(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3">
      <c r="B113" s="44">
        <f>VLOOKUP( T_ApifImport[[#This Row],[Bilans]], T_Bilansi[], 4, 0)</f>
        <v>26</v>
      </c>
      <c r="C113" s="227">
        <f>IF(AND([0]!Godina=2022,MID(Osnovni_podaci!D20,3,1)="H",Osnovni_podaci!L24=3,Osnovni_podaci!G24=0,MID(Osnovni_podaci!D20,3,1)="H",MID(Osnovni_podaci!D20,8,1)="S"),VLOOKUP(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3">
      <c r="B114" s="44">
        <f>VLOOKUP( T_ApifImport[[#This Row],[Bilans]], T_Bilansi[], 4, 0)</f>
        <v>26</v>
      </c>
      <c r="C114" s="227">
        <f>IF(AND([0]!Godina=2022,MID(Osnovni_podaci!D20,3,1)="H",Osnovni_podaci!L24=3,Osnovni_podaci!G24=0,MID(Osnovni_podaci!D20,3,1)="H",MID(Osnovni_podaci!D20,8,1)="S"),VLOOKUP(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3">
      <c r="B115" s="44">
        <f>VLOOKUP( T_ApifImport[[#This Row],[Bilans]], T_Bilansi[], 4, 0)</f>
        <v>26</v>
      </c>
      <c r="C115" s="227">
        <f>IF(AND([0]!Godina=2022,MID(Osnovni_podaci!D20,3,1)="H",Osnovni_podaci!L24=3,Osnovni_podaci!G24=0,MID(Osnovni_podaci!D20,3,1)="H",MID(Osnovni_podaci!D20,8,1)="S"),VLOOKUP(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696170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1657257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3">
      <c r="B116" s="44">
        <f>VLOOKUP( T_ApifImport[[#This Row],[Bilans]], T_Bilansi[], 4, 0)</f>
        <v>26</v>
      </c>
      <c r="C116" s="227">
        <f>IF(AND([0]!Godina=2022,MID(Osnovni_podaci!D20,3,1)="H",Osnovni_podaci!L24=3,Osnovni_podaci!G24=0,MID(Osnovni_podaci!D20,3,1)="H",MID(Osnovni_podaci!D20,8,1)="S"),VLOOKUP(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3">
      <c r="B117" s="44">
        <f>VLOOKUP( T_ApifImport[[#This Row],[Bilans]], T_Bilansi[], 4, 0)</f>
        <v>26</v>
      </c>
      <c r="C117" s="227">
        <f>IF(AND([0]!Godina=2022,MID(Osnovni_podaci!D20,3,1)="H",Osnovni_podaci!L24=3,Osnovni_podaci!G24=0,MID(Osnovni_podaci!D20,3,1)="H",MID(Osnovni_podaci!D20,8,1)="S"),VLOOKUP(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3">
      <c r="B118" s="44">
        <f>VLOOKUP( T_ApifImport[[#This Row],[Bilans]], T_Bilansi[], 4, 0)</f>
        <v>26</v>
      </c>
      <c r="C118" s="227">
        <f>IF(AND([0]!Godina=2022,MID(Osnovni_podaci!D20,3,1)="H",Osnovni_podaci!L24=3,Osnovni_podaci!G24=0,MID(Osnovni_podaci!D20,3,1)="H",MID(Osnovni_podaci!D20,8,1)="S"),VLOOKUP(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3">
      <c r="B119" s="44">
        <f>VLOOKUP( T_ApifImport[[#This Row],[Bilans]], T_Bilansi[], 4, 0)</f>
        <v>26</v>
      </c>
      <c r="C119" s="227">
        <f>IF(AND([0]!Godina=2022,MID(Osnovni_podaci!D20,3,1)="H",Osnovni_podaci!L24=3,Osnovni_podaci!G24=0,MID(Osnovni_podaci!D20,3,1)="H",MID(Osnovni_podaci!D20,8,1)="S"),VLOOKUP(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3">
      <c r="B120" s="44">
        <f>VLOOKUP( T_ApifImport[[#This Row],[Bilans]], T_Bilansi[], 4, 0)</f>
        <v>26</v>
      </c>
      <c r="C120" s="227">
        <f>IF(AND([0]!Godina=2022,MID(Osnovni_podaci!D20,3,1)="H",Osnovni_podaci!L24=3,Osnovni_podaci!G24=0,MID(Osnovni_podaci!D20,3,1)="H",MID(Osnovni_podaci!D20,8,1)="S"),VLOOKUP(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3">
      <c r="B121" s="44">
        <f>VLOOKUP( T_ApifImport[[#This Row],[Bilans]], T_Bilansi[], 4, 0)</f>
        <v>26</v>
      </c>
      <c r="C121" s="227">
        <f>IF(AND([0]!Godina=2022,MID(Osnovni_podaci!D20,3,1)="H",Osnovni_podaci!L24=3,Osnovni_podaci!G24=0,MID(Osnovni_podaci!D20,3,1)="H",MID(Osnovni_podaci!D20,8,1)="S"),VLOOKUP(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3">
      <c r="B122" s="44">
        <f>VLOOKUP( T_ApifImport[[#This Row],[Bilans]], T_Bilansi[], 4, 0)</f>
        <v>26</v>
      </c>
      <c r="C122" s="227">
        <f>IF(AND([0]!Godina=2022,MID(Osnovni_podaci!D20,3,1)="H",Osnovni_podaci!L24=3,Osnovni_podaci!G24=0,MID(Osnovni_podaci!D20,3,1)="H",MID(Osnovni_podaci!D20,8,1)="S"),VLOOKUP(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3">
      <c r="B123" s="44">
        <f>VLOOKUP( T_ApifImport[[#This Row],[Bilans]], T_Bilansi[], 4, 0)</f>
        <v>26</v>
      </c>
      <c r="C123" s="227">
        <f>IF(AND([0]!Godina=2022,MID(Osnovni_podaci!D20,3,1)="H",Osnovni_podaci!L24=3,Osnovni_podaci!G24=0,MID(Osnovni_podaci!D20,3,1)="H",MID(Osnovni_podaci!D20,8,1)="S"),VLOOKUP(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643753</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1515908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3">
      <c r="B124" s="44">
        <f>VLOOKUP( T_ApifImport[[#This Row],[Bilans]], T_Bilansi[], 4, 0)</f>
        <v>26</v>
      </c>
      <c r="C124" s="227">
        <f>IF(AND([0]!Godina=2022,MID(Osnovni_podaci!D20,3,1)="H",Osnovni_podaci!L24=3,Osnovni_podaci!G24=0,MID(Osnovni_podaci!D20,3,1)="H",MID(Osnovni_podaci!D20,8,1)="S"),VLOOKUP(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29068</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991</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3">
      <c r="B125" s="44">
        <f>VLOOKUP( T_ApifImport[[#This Row],[Bilans]], T_Bilansi[], 4, 0)</f>
        <v>26</v>
      </c>
      <c r="C125" s="227">
        <f>IF(AND([0]!Godina=2022,MID(Osnovni_podaci!D20,3,1)="H",Osnovni_podaci!L24=3,Osnovni_podaci!G24=0,MID(Osnovni_podaci!D20,3,1)="H",MID(Osnovni_podaci!D20,8,1)="S"),VLOOKUP(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549344</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1454771</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3">
      <c r="B126" s="44">
        <f>VLOOKUP( T_ApifImport[[#This Row],[Bilans]], T_Bilansi[], 4, 0)</f>
        <v>26</v>
      </c>
      <c r="C126" s="227">
        <f>IF(AND([0]!Godina=2022,MID(Osnovni_podaci!D20,3,1)="H",Osnovni_podaci!L24=3,Osnovni_podaci!G24=0,MID(Osnovni_podaci!D20,3,1)="H",MID(Osnovni_podaci!D20,8,1)="S"),VLOOKUP(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65341</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55472</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3">
      <c r="B127" s="44">
        <f>VLOOKUP( T_ApifImport[[#This Row],[Bilans]], T_Bilansi[], 4, 0)</f>
        <v>26</v>
      </c>
      <c r="C127" s="227">
        <f>IF(AND([0]!Godina=2022,MID(Osnovni_podaci!D20,3,1)="H",Osnovni_podaci!L24=3,Osnovni_podaci!G24=0,MID(Osnovni_podaci!D20,3,1)="H",MID(Osnovni_podaci!D20,8,1)="S"),VLOOKUP(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4674</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3">
      <c r="B128" s="44">
        <f>VLOOKUP( T_ApifImport[[#This Row],[Bilans]], T_Bilansi[], 4, 0)</f>
        <v>26</v>
      </c>
      <c r="C128" s="227">
        <f>IF(AND([0]!Godina=2022,MID(Osnovni_podaci!D20,3,1)="H",Osnovni_podaci!L24=3,Osnovni_podaci!G24=0,MID(Osnovni_podaci!D20,3,1)="H",MID(Osnovni_podaci!D20,8,1)="S"),VLOOKUP(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3">
      <c r="B129" s="44">
        <f>VLOOKUP( T_ApifImport[[#This Row],[Bilans]], T_Bilansi[], 4, 0)</f>
        <v>26</v>
      </c>
      <c r="C129" s="227">
        <f>IF(AND([0]!Godina=2022,MID(Osnovni_podaci!D20,3,1)="H",Osnovni_podaci!L24=3,Osnovni_podaci!G24=0,MID(Osnovni_podaci!D20,3,1)="H",MID(Osnovni_podaci!D20,8,1)="S"),VLOOKUP(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3">
      <c r="B130" s="44">
        <f>VLOOKUP( T_ApifImport[[#This Row],[Bilans]], T_Bilansi[], 4, 0)</f>
        <v>26</v>
      </c>
      <c r="C130" s="227">
        <f>IF(AND([0]!Godina=2022,MID(Osnovni_podaci!D20,3,1)="H",Osnovni_podaci!L24=3,Osnovni_podaci!G24=0,MID(Osnovni_podaci!D20,3,1)="H",MID(Osnovni_podaci!D20,8,1)="S"),VLOOKUP(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37567</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33575</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3">
      <c r="B131" s="44">
        <f>VLOOKUP( T_ApifImport[[#This Row],[Bilans]], T_Bilansi[], 4, 0)</f>
        <v>26</v>
      </c>
      <c r="C131" s="227">
        <f>IF(AND([0]!Godina=2022,MID(Osnovni_podaci!D20,3,1)="H",Osnovni_podaci!L24=3,Osnovni_podaci!G24=0,MID(Osnovni_podaci!D20,3,1)="H",MID(Osnovni_podaci!D20,8,1)="S"),VLOOKUP(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1635</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3">
      <c r="B132" s="44">
        <f>VLOOKUP( T_ApifImport[[#This Row],[Bilans]], T_Bilansi[], 4, 0)</f>
        <v>26</v>
      </c>
      <c r="C132" s="227">
        <f>IF(AND([0]!Godina=2022,MID(Osnovni_podaci!D20,3,1)="H",Osnovni_podaci!L24=3,Osnovni_podaci!G24=0,MID(Osnovni_podaci!D20,3,1)="H",MID(Osnovni_podaci!D20,8,1)="S"),VLOOKUP(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5275</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16177</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3">
      <c r="B133" s="44">
        <f>VLOOKUP( T_ApifImport[[#This Row],[Bilans]], T_Bilansi[], 4, 0)</f>
        <v>26</v>
      </c>
      <c r="C133" s="227">
        <f>IF(AND([0]!Godina=2022,MID(Osnovni_podaci!D20,3,1)="H",Osnovni_podaci!L24=3,Osnovni_podaci!G24=0,MID(Osnovni_podaci!D20,3,1)="H",MID(Osnovni_podaci!D20,8,1)="S"),VLOOKUP(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5576</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3">
      <c r="B134" s="44">
        <f>VLOOKUP( T_ApifImport[[#This Row],[Bilans]], T_Bilansi[], 4, 0)</f>
        <v>26</v>
      </c>
      <c r="C134" s="227">
        <f>IF(AND([0]!Godina=2022,MID(Osnovni_podaci!D20,3,1)="H",Osnovni_podaci!L24=3,Osnovni_podaci!G24=0,MID(Osnovni_podaci!D20,3,1)="H",MID(Osnovni_podaci!D20,8,1)="S"),VLOOKUP(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84982</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3">
      <c r="B135" s="44">
        <f>VLOOKUP( T_ApifImport[[#This Row],[Bilans]], T_Bilansi[], 4, 0)</f>
        <v>26</v>
      </c>
      <c r="C135" s="227">
        <f>IF(AND([0]!Godina=2022,MID(Osnovni_podaci!D20,3,1)="H",Osnovni_podaci!L24=3,Osnovni_podaci!G24=0,MID(Osnovni_podaci!D20,3,1)="H",MID(Osnovni_podaci!D20,8,1)="S"),VLOOKUP(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3">
      <c r="B136" s="44">
        <f>VLOOKUP( T_ApifImport[[#This Row],[Bilans]], T_Bilansi[], 4, 0)</f>
        <v>26</v>
      </c>
      <c r="C136" s="227">
        <f>IF(AND([0]!Godina=2022,MID(Osnovni_podaci!D20,3,1)="H",Osnovni_podaci!L24=3,Osnovni_podaci!G24=0,MID(Osnovni_podaci!D20,3,1)="H",MID(Osnovni_podaci!D20,8,1)="S"),VLOOKUP(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3">
      <c r="B137" s="44">
        <f>VLOOKUP( T_ApifImport[[#This Row],[Bilans]], T_Bilansi[], 4, 0)</f>
        <v>26</v>
      </c>
      <c r="C137" s="227">
        <f>IF(AND([0]!Godina=2022,MID(Osnovni_podaci!D20,3,1)="H",Osnovni_podaci!L24=3,Osnovni_podaci!G24=0,MID(Osnovni_podaci!D20,3,1)="H",MID(Osnovni_podaci!D20,8,1)="S"),VLOOKUP(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5421596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5927735</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3">
      <c r="B138" s="506">
        <f>VLOOKUP( T_ApifImport[[#This Row],[Bilans]], T_Bilansi[], 4, 0)</f>
        <v>26</v>
      </c>
      <c r="C138" s="260">
        <f>IF(AND([0]!Godina=2022,MID(Osnovni_podaci!D20,3,1)="H",Osnovni_podaci!L24=3,Osnovni_podaci!G24=0,MID(Osnovni_podaci!D20,3,1)="H",MID(Osnovni_podaci!D20,8,1)="S"),VLOOKUP(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3">
      <c r="B139" s="44">
        <f>VLOOKUP( T_ApifImport[[#This Row],[Bilans]], T_Bilansi[], 4, 0)</f>
        <v>27</v>
      </c>
      <c r="C139" s="227">
        <f>IF(AND([0]!Godina=2022,MID(Osnovni_podaci!D20,3,1)="H",Osnovni_podaci!L24=3,Osnovni_podaci!G24=0,MID(Osnovni_podaci!D20,3,1)="H",MID(Osnovni_podaci!D20,8,1)="S"),VLOOKUP(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4027723</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4622044</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3">
      <c r="B140" s="44">
        <f>VLOOKUP( T_ApifImport[[#This Row],[Bilans]], T_Bilansi[], 4, 0)</f>
        <v>27</v>
      </c>
      <c r="C140" s="227">
        <f>IF(AND([0]!Godina=2022,MID(Osnovni_podaci!D20,3,1)="H",Osnovni_podaci!L24=3,Osnovni_podaci!G24=0,MID(Osnovni_podaci!D20,3,1)="H",MID(Osnovni_podaci!D20,8,1)="S"),VLOOKUP(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2299289</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3356944</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3">
      <c r="B141" s="44">
        <f>VLOOKUP( T_ApifImport[[#This Row],[Bilans]], T_Bilansi[], 4, 0)</f>
        <v>27</v>
      </c>
      <c r="C141" s="227">
        <f>IF(AND([0]!Godina=2022,MID(Osnovni_podaci!D20,3,1)="H",Osnovni_podaci!L24=3,Osnovni_podaci!G24=0,MID(Osnovni_podaci!D20,3,1)="H",MID(Osnovni_podaci!D20,8,1)="S"),VLOOKUP(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150419</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55980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3">
      <c r="B142" s="44">
        <f>VLOOKUP( T_ApifImport[[#This Row],[Bilans]], T_Bilansi[], 4, 0)</f>
        <v>27</v>
      </c>
      <c r="C142" s="227">
        <f>IF(AND([0]!Godina=2022,MID(Osnovni_podaci!D20,3,1)="H",Osnovni_podaci!L24=3,Osnovni_podaci!G24=0,MID(Osnovni_podaci!D20,3,1)="H",MID(Osnovni_podaci!D20,8,1)="S"),VLOOKUP(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2148870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3300964</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3">
      <c r="B143" s="44">
        <f>VLOOKUP( T_ApifImport[[#This Row],[Bilans]], T_Bilansi[], 4, 0)</f>
        <v>27</v>
      </c>
      <c r="C143" s="227">
        <f>IF(AND([0]!Godina=2022,MID(Osnovni_podaci!D20,3,1)="H",Osnovni_podaci!L24=3,Osnovni_podaci!G24=0,MID(Osnovni_podaci!D20,3,1)="H",MID(Osnovni_podaci!D20,8,1)="S"),VLOOKUP(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3">
      <c r="B144" s="44">
        <f>VLOOKUP( T_ApifImport[[#This Row],[Bilans]], T_Bilansi[], 4, 0)</f>
        <v>27</v>
      </c>
      <c r="C144" s="227">
        <f>IF(AND([0]!Godina=2022,MID(Osnovni_podaci!D20,3,1)="H",Osnovni_podaci!L24=3,Osnovni_podaci!G24=0,MID(Osnovni_podaci!D20,3,1)="H",MID(Osnovni_podaci!D20,8,1)="S"),VLOOKUP(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1689739</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1256974</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3">
      <c r="B145" s="44">
        <f>VLOOKUP( T_ApifImport[[#This Row],[Bilans]], T_Bilansi[], 4, 0)</f>
        <v>27</v>
      </c>
      <c r="C145" s="227">
        <f>IF(AND([0]!Godina=2022,MID(Osnovni_podaci!D20,3,1)="H",Osnovni_podaci!L24=3,Osnovni_podaci!G24=0,MID(Osnovni_podaci!D20,3,1)="H",MID(Osnovni_podaci!D20,8,1)="S"),VLOOKUP(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1302188</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903376</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3">
      <c r="B146" s="44">
        <f>VLOOKUP( T_ApifImport[[#This Row],[Bilans]], T_Bilansi[], 4, 0)</f>
        <v>27</v>
      </c>
      <c r="C146" s="227">
        <f>IF(AND([0]!Godina=2022,MID(Osnovni_podaci!D20,3,1)="H",Osnovni_podaci!L24=3,Osnovni_podaci!G24=0,MID(Osnovni_podaci!D20,3,1)="H",MID(Osnovni_podaci!D20,8,1)="S"),VLOOKUP(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374182</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318068</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3">
      <c r="B147" s="44">
        <f>VLOOKUP( T_ApifImport[[#This Row],[Bilans]], T_Bilansi[], 4, 0)</f>
        <v>27</v>
      </c>
      <c r="C147" s="227">
        <f>IF(AND([0]!Godina=2022,MID(Osnovni_podaci!D20,3,1)="H",Osnovni_podaci!L24=3,Osnovni_podaci!G24=0,MID(Osnovni_podaci!D20,3,1)="H",MID(Osnovni_podaci!D20,8,1)="S"),VLOOKUP(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13369</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35530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3">
      <c r="B148" s="44">
        <f>VLOOKUP( T_ApifImport[[#This Row],[Bilans]], T_Bilansi[], 4, 0)</f>
        <v>27</v>
      </c>
      <c r="C148" s="227">
        <f>IF(AND([0]!Godina=2022,MID(Osnovni_podaci!D20,3,1)="H",Osnovni_podaci!L24=3,Osnovni_podaci!G24=0,MID(Osnovni_podaci!D20,3,1)="H",MID(Osnovni_podaci!D20,8,1)="S"),VLOOKUP(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561</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3">
      <c r="B149" s="44">
        <f>VLOOKUP( T_ApifImport[[#This Row],[Bilans]], T_Bilansi[], 4, 0)</f>
        <v>27</v>
      </c>
      <c r="C149" s="227">
        <f>IF(AND([0]!Godina=2022,MID(Osnovni_podaci!D20,3,1)="H",Osnovni_podaci!L24=3,Osnovni_podaci!G24=0,MID(Osnovni_podaci!D20,3,1)="H",MID(Osnovni_podaci!D20,8,1)="S"),VLOOKUP(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3">
      <c r="B150" s="44">
        <f>VLOOKUP( T_ApifImport[[#This Row],[Bilans]], T_Bilansi[], 4, 0)</f>
        <v>27</v>
      </c>
      <c r="C150" s="227">
        <f>IF(AND([0]!Godina=2022,MID(Osnovni_podaci!D20,3,1)="H",Osnovni_podaci!L24=3,Osnovni_podaci!G24=0,MID(Osnovni_podaci!D20,3,1)="H",MID(Osnovni_podaci!D20,8,1)="S"),VLOOKUP(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561</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3">
      <c r="B151" s="44">
        <f>VLOOKUP( T_ApifImport[[#This Row],[Bilans]], T_Bilansi[], 4, 0)</f>
        <v>27</v>
      </c>
      <c r="C151" s="227">
        <f>IF(AND([0]!Godina=2022,MID(Osnovni_podaci!D20,3,1)="H",Osnovni_podaci!L24=3,Osnovni_podaci!G24=0,MID(Osnovni_podaci!D20,3,1)="H",MID(Osnovni_podaci!D20,8,1)="S"),VLOOKUP(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3">
      <c r="B152" s="44">
        <f>VLOOKUP( T_ApifImport[[#This Row],[Bilans]], T_Bilansi[], 4, 0)</f>
        <v>27</v>
      </c>
      <c r="C152" s="227">
        <f>IF(AND([0]!Godina=2022,MID(Osnovni_podaci!D20,3,1)="H",Osnovni_podaci!L24=3,Osnovni_podaci!G24=0,MID(Osnovni_podaci!D20,3,1)="H",MID(Osnovni_podaci!D20,8,1)="S"),VLOOKUP(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3">
      <c r="B153" s="44">
        <f>VLOOKUP( T_ApifImport[[#This Row],[Bilans]], T_Bilansi[], 4, 0)</f>
        <v>27</v>
      </c>
      <c r="C153" s="227">
        <f>IF(AND([0]!Godina=2022,MID(Osnovni_podaci!D20,3,1)="H",Osnovni_podaci!L24=3,Osnovni_podaci!G24=0,MID(Osnovni_podaci!D20,3,1)="H",MID(Osnovni_podaci!D20,8,1)="S"),VLOOKUP(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1357</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933</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3">
      <c r="B154" s="44">
        <f>VLOOKUP( T_ApifImport[[#This Row],[Bilans]], T_Bilansi[], 4, 0)</f>
        <v>27</v>
      </c>
      <c r="C154" s="227">
        <f>IF(AND([0]!Godina=2022,MID(Osnovni_podaci!D20,3,1)="H",Osnovni_podaci!L24=3,Osnovni_podaci!G24=0,MID(Osnovni_podaci!D20,3,1)="H",MID(Osnovni_podaci!D20,8,1)="S"),VLOOKUP(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3">
      <c r="B155" s="44">
        <f>VLOOKUP( T_ApifImport[[#This Row],[Bilans]], T_Bilansi[], 4, 0)</f>
        <v>27</v>
      </c>
      <c r="C155" s="227">
        <f>IF(AND([0]!Godina=2022,MID(Osnovni_podaci!D20,3,1)="H",Osnovni_podaci!L24=3,Osnovni_podaci!G24=0,MID(Osnovni_podaci!D20,3,1)="H",MID(Osnovni_podaci!D20,8,1)="S"),VLOOKUP(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3">
      <c r="B156" s="44">
        <f>VLOOKUP( T_ApifImport[[#This Row],[Bilans]], T_Bilansi[], 4, 0)</f>
        <v>27</v>
      </c>
      <c r="C156" s="227">
        <f>IF(AND([0]!Godina=2022,MID(Osnovni_podaci!D20,3,1)="H",Osnovni_podaci!L24=3,Osnovni_podaci!G24=0,MID(Osnovni_podaci!D20,3,1)="H",MID(Osnovni_podaci!D20,8,1)="S"),VLOOKUP(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39491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3">
      <c r="B157" s="44">
        <f>VLOOKUP( T_ApifImport[[#This Row],[Bilans]], T_Bilansi[], 4, 0)</f>
        <v>27</v>
      </c>
      <c r="C157" s="227">
        <f>IF(AND([0]!Godina=2022,MID(Osnovni_podaci!D20,3,1)="H",Osnovni_podaci!L24=3,Osnovni_podaci!G24=0,MID(Osnovni_podaci!D20,3,1)="H",MID(Osnovni_podaci!D20,8,1)="S"),VLOOKUP(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3598856</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3796376</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3">
      <c r="B158" s="44">
        <f>VLOOKUP( T_ApifImport[[#This Row],[Bilans]], T_Bilansi[], 4, 0)</f>
        <v>27</v>
      </c>
      <c r="C158" s="227">
        <f>IF(AND([0]!Godina=2022,MID(Osnovni_podaci!D20,3,1)="H",Osnovni_podaci!L24=3,Osnovni_podaci!G24=0,MID(Osnovni_podaci!D20,3,1)="H",MID(Osnovni_podaci!D20,8,1)="S"),VLOOKUP(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1697044</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2170630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3">
      <c r="B159" s="44">
        <f>VLOOKUP( T_ApifImport[[#This Row],[Bilans]], T_Bilansi[], 4, 0)</f>
        <v>27</v>
      </c>
      <c r="C159" s="227">
        <f>IF(AND([0]!Godina=2022,MID(Osnovni_podaci!D20,3,1)="H",Osnovni_podaci!L24=3,Osnovni_podaci!G24=0,MID(Osnovni_podaci!D20,3,1)="H",MID(Osnovni_podaci!D20,8,1)="S"),VLOOKUP(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87332</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54997</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3">
      <c r="B160" s="44">
        <f>VLOOKUP( T_ApifImport[[#This Row],[Bilans]], T_Bilansi[], 4, 0)</f>
        <v>27</v>
      </c>
      <c r="C160" s="227">
        <f>IF(AND([0]!Godina=2022,MID(Osnovni_podaci!D20,3,1)="H",Osnovni_podaci!L24=3,Osnovni_podaci!G24=0,MID(Osnovni_podaci!D20,3,1)="H",MID(Osnovni_podaci!D20,8,1)="S"),VLOOKUP(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511924</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377650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3">
      <c r="B161" s="44">
        <f>VLOOKUP( T_ApifImport[[#This Row],[Bilans]], T_Bilansi[], 4, 0)</f>
        <v>27</v>
      </c>
      <c r="C161" s="227">
        <f>IF(AND([0]!Godina=2022,MID(Osnovni_podaci!D20,3,1)="H",Osnovni_podaci!L24=3,Osnovni_podaci!G24=0,MID(Osnovni_podaci!D20,3,1)="H",MID(Osnovni_podaci!D20,8,1)="S"),VLOOKUP(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496344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445670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3">
      <c r="B162" s="44">
        <f>VLOOKUP( T_ApifImport[[#This Row],[Bilans]], T_Bilansi[], 4, 0)</f>
        <v>27</v>
      </c>
      <c r="C162" s="227">
        <f>IF(AND([0]!Godina=2022,MID(Osnovni_podaci!D20,3,1)="H",Osnovni_podaci!L24=3,Osnovni_podaci!G24=0,MID(Osnovni_podaci!D20,3,1)="H",MID(Osnovni_podaci!D20,8,1)="S"),VLOOKUP(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422112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391667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3">
      <c r="B163" s="44">
        <f>VLOOKUP( T_ApifImport[[#This Row],[Bilans]], T_Bilansi[], 4, 0)</f>
        <v>27</v>
      </c>
      <c r="C163" s="227">
        <f>IF(AND([0]!Godina=2022,MID(Osnovni_podaci!D20,3,1)="H",Osnovni_podaci!L24=3,Osnovni_podaci!G24=0,MID(Osnovni_podaci!D20,3,1)="H",MID(Osnovni_podaci!D20,8,1)="S"),VLOOKUP(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74232</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54003</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3">
      <c r="B164" s="44">
        <f>VLOOKUP( T_ApifImport[[#This Row],[Bilans]], T_Bilansi[], 4, 0)</f>
        <v>27</v>
      </c>
      <c r="C164" s="227">
        <f>IF(AND([0]!Godina=2022,MID(Osnovni_podaci!D20,3,1)="H",Osnovni_podaci!L24=3,Osnovni_podaci!G24=0,MID(Osnovni_podaci!D20,3,1)="H",MID(Osnovni_podaci!D20,8,1)="S"),VLOOKUP(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242321</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226761</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3">
      <c r="B165" s="44">
        <f>VLOOKUP( T_ApifImport[[#This Row],[Bilans]], T_Bilansi[], 4, 0)</f>
        <v>27</v>
      </c>
      <c r="C165" s="227">
        <f>IF(AND([0]!Godina=2022,MID(Osnovni_podaci!D20,3,1)="H",Osnovni_podaci!L24=3,Osnovni_podaci!G24=0,MID(Osnovni_podaci!D20,3,1)="H",MID(Osnovni_podaci!D20,8,1)="S"),VLOOKUP(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358501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390544</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3">
      <c r="B166" s="44">
        <f>VLOOKUP( T_ApifImport[[#This Row],[Bilans]], T_Bilansi[], 4, 0)</f>
        <v>27</v>
      </c>
      <c r="C166" s="227">
        <f>IF(AND([0]!Godina=2022,MID(Osnovni_podaci!D20,3,1)="H",Osnovni_podaci!L24=3,Osnovni_podaci!G24=0,MID(Osnovni_podaci!D20,3,1)="H",MID(Osnovni_podaci!D20,8,1)="S"),VLOOKUP(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358501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390544</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3">
      <c r="B167" s="44">
        <f>VLOOKUP( T_ApifImport[[#This Row],[Bilans]], T_Bilansi[], 4, 0)</f>
        <v>27</v>
      </c>
      <c r="C167" s="227">
        <f>IF(AND([0]!Godina=2022,MID(Osnovni_podaci!D20,3,1)="H",Osnovni_podaci!L24=3,Osnovni_podaci!G24=0,MID(Osnovni_podaci!D20,3,1)="H",MID(Osnovni_podaci!D20,8,1)="S"),VLOOKUP(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358501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390544</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3">
      <c r="B168" s="44">
        <f>VLOOKUP( T_ApifImport[[#This Row],[Bilans]], T_Bilansi[], 4, 0)</f>
        <v>27</v>
      </c>
      <c r="C168" s="227">
        <f>IF(AND([0]!Godina=2022,MID(Osnovni_podaci!D20,3,1)="H",Osnovni_podaci!L24=3,Osnovni_podaci!G24=0,MID(Osnovni_podaci!D20,3,1)="H",MID(Osnovni_podaci!D20,8,1)="S"),VLOOKUP(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3">
      <c r="B169" s="44">
        <f>VLOOKUP( T_ApifImport[[#This Row],[Bilans]], T_Bilansi[], 4, 0)</f>
        <v>27</v>
      </c>
      <c r="C169" s="227">
        <f>IF(AND([0]!Godina=2022,MID(Osnovni_podaci!D20,3,1)="H",Osnovni_podaci!L24=3,Osnovni_podaci!G24=0,MID(Osnovni_podaci!D20,3,1)="H",MID(Osnovni_podaci!D20,8,1)="S"),VLOOKUP(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3">
      <c r="B170" s="44">
        <f>VLOOKUP( T_ApifImport[[#This Row],[Bilans]], T_Bilansi[], 4, 0)</f>
        <v>27</v>
      </c>
      <c r="C170" s="227">
        <f>IF(AND([0]!Godina=2022,MID(Osnovni_podaci!D20,3,1)="H",Osnovni_podaci!L24=3,Osnovni_podaci!G24=0,MID(Osnovni_podaci!D20,3,1)="H",MID(Osnovni_podaci!D20,8,1)="S"),VLOOKUP(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3">
      <c r="B171" s="44">
        <f>VLOOKUP( T_ApifImport[[#This Row],[Bilans]], T_Bilansi[], 4, 0)</f>
        <v>27</v>
      </c>
      <c r="C171" s="227">
        <f>IF(AND([0]!Godina=2022,MID(Osnovni_podaci!D20,3,1)="H",Osnovni_podaci!L24=3,Osnovni_podaci!G24=0,MID(Osnovni_podaci!D20,3,1)="H",MID(Osnovni_podaci!D20,8,1)="S"),VLOOKUP(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3">
      <c r="B172" s="44">
        <f>VLOOKUP( T_ApifImport[[#This Row],[Bilans]], T_Bilansi[], 4, 0)</f>
        <v>27</v>
      </c>
      <c r="C172" s="227">
        <f>IF(AND([0]!Godina=2022,MID(Osnovni_podaci!D20,3,1)="H",Osnovni_podaci!L24=3,Osnovni_podaci!G24=0,MID(Osnovni_podaci!D20,3,1)="H",MID(Osnovni_podaci!D20,8,1)="S"),VLOOKUP(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119244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61993</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3">
      <c r="B173" s="44">
        <f>VLOOKUP( T_ApifImport[[#This Row],[Bilans]], T_Bilansi[], 4, 0)</f>
        <v>27</v>
      </c>
      <c r="C173" s="227">
        <f>IF(AND([0]!Godina=2022,MID(Osnovni_podaci!D20,3,1)="H",Osnovni_podaci!L24=3,Osnovni_podaci!G24=0,MID(Osnovni_podaci!D20,3,1)="H",MID(Osnovni_podaci!D20,8,1)="S"),VLOOKUP(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85683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67739</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3">
      <c r="B174" s="44">
        <f>VLOOKUP( T_ApifImport[[#This Row],[Bilans]], T_Bilansi[], 4, 0)</f>
        <v>27</v>
      </c>
      <c r="C174" s="227">
        <f>IF(AND([0]!Godina=2022,MID(Osnovni_podaci!D20,3,1)="H",Osnovni_podaci!L24=3,Osnovni_podaci!G24=0,MID(Osnovni_podaci!D20,3,1)="H",MID(Osnovni_podaci!D20,8,1)="S"),VLOOKUP(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463</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3">
      <c r="B175" s="44">
        <f>VLOOKUP( T_ApifImport[[#This Row],[Bilans]], T_Bilansi[], 4, 0)</f>
        <v>27</v>
      </c>
      <c r="C175" s="227">
        <f>IF(AND([0]!Godina=2022,MID(Osnovni_podaci!D20,3,1)="H",Osnovni_podaci!L24=3,Osnovni_podaci!G24=0,MID(Osnovni_podaci!D20,3,1)="H",MID(Osnovni_podaci!D20,8,1)="S"),VLOOKUP(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428867</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825668</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3">
      <c r="B176" s="44">
        <f>VLOOKUP( T_ApifImport[[#This Row],[Bilans]], T_Bilansi[], 4, 0)</f>
        <v>27</v>
      </c>
      <c r="C176" s="227">
        <f>IF(AND([0]!Godina=2022,MID(Osnovni_podaci!D20,3,1)="H",Osnovni_podaci!L24=3,Osnovni_podaci!G24=0,MID(Osnovni_podaci!D20,3,1)="H",MID(Osnovni_podaci!D20,8,1)="S"),VLOOKUP(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3">
      <c r="B177" s="44">
        <f>VLOOKUP( T_ApifImport[[#This Row],[Bilans]], T_Bilansi[], 4, 0)</f>
        <v>27</v>
      </c>
      <c r="C177" s="227">
        <f>IF(AND([0]!Godina=2022,MID(Osnovni_podaci!D20,3,1)="H",Osnovni_podaci!L24=3,Osnovni_podaci!G24=0,MID(Osnovni_podaci!D20,3,1)="H",MID(Osnovni_podaci!D20,8,1)="S"),VLOOKUP(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3">
      <c r="B178" s="44">
        <f>VLOOKUP( T_ApifImport[[#This Row],[Bilans]], T_Bilansi[], 4, 0)</f>
        <v>27</v>
      </c>
      <c r="C178" s="227">
        <f>IF(AND([0]!Godina=2022,MID(Osnovni_podaci!D20,3,1)="H",Osnovni_podaci!L24=3,Osnovni_podaci!G24=0,MID(Osnovni_podaci!D20,3,1)="H",MID(Osnovni_podaci!D20,8,1)="S"),VLOOKUP(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3">
      <c r="B179" s="44">
        <f>VLOOKUP( T_ApifImport[[#This Row],[Bilans]], T_Bilansi[], 4, 0)</f>
        <v>27</v>
      </c>
      <c r="C179" s="227">
        <f>IF(AND([0]!Godina=2022,MID(Osnovni_podaci!D20,3,1)="H",Osnovni_podaci!L24=3,Osnovni_podaci!G24=0,MID(Osnovni_podaci!D20,3,1)="H",MID(Osnovni_podaci!D20,8,1)="S"),VLOOKUP(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3">
      <c r="B180" s="44">
        <f>VLOOKUP( T_ApifImport[[#This Row],[Bilans]], T_Bilansi[], 4, 0)</f>
        <v>27</v>
      </c>
      <c r="C180" s="227">
        <f>IF(AND([0]!Godina=2022,MID(Osnovni_podaci!D20,3,1)="H",Osnovni_podaci!L24=3,Osnovni_podaci!G24=0,MID(Osnovni_podaci!D20,3,1)="H",MID(Osnovni_podaci!D20,8,1)="S"),VLOOKUP(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3">
      <c r="B181" s="44">
        <f>VLOOKUP( T_ApifImport[[#This Row],[Bilans]], T_Bilansi[], 4, 0)</f>
        <v>27</v>
      </c>
      <c r="C181" s="227">
        <f>IF(AND([0]!Godina=2022,MID(Osnovni_podaci!D20,3,1)="H",Osnovni_podaci!L24=3,Osnovni_podaci!G24=0,MID(Osnovni_podaci!D20,3,1)="H",MID(Osnovni_podaci!D20,8,1)="S"),VLOOKUP(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3">
      <c r="B182" s="44">
        <f>VLOOKUP( T_ApifImport[[#This Row],[Bilans]], T_Bilansi[], 4, 0)</f>
        <v>27</v>
      </c>
      <c r="C182" s="227">
        <f>IF(AND([0]!Godina=2022,MID(Osnovni_podaci!D20,3,1)="H",Osnovni_podaci!L24=3,Osnovni_podaci!G24=0,MID(Osnovni_podaci!D20,3,1)="H",MID(Osnovni_podaci!D20,8,1)="S"),VLOOKUP(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9015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3">
      <c r="B183" s="44">
        <f>VLOOKUP( T_ApifImport[[#This Row],[Bilans]], T_Bilansi[], 4, 0)</f>
        <v>27</v>
      </c>
      <c r="C183" s="227">
        <f>IF(AND([0]!Godina=2022,MID(Osnovni_podaci!D20,3,1)="H",Osnovni_podaci!L24=3,Osnovni_podaci!G24=0,MID(Osnovni_podaci!D20,3,1)="H",MID(Osnovni_podaci!D20,8,1)="S"),VLOOKUP(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9015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3">
      <c r="B184" s="44">
        <f>VLOOKUP( T_ApifImport[[#This Row],[Bilans]], T_Bilansi[], 4, 0)</f>
        <v>27</v>
      </c>
      <c r="C184" s="227">
        <f>IF(AND([0]!Godina=2022,MID(Osnovni_podaci!D20,3,1)="H",Osnovni_podaci!L24=3,Osnovni_podaci!G24=0,MID(Osnovni_podaci!D20,3,1)="H",MID(Osnovni_podaci!D20,8,1)="S"),VLOOKUP(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3">
      <c r="B185" s="44">
        <f>VLOOKUP( T_ApifImport[[#This Row],[Bilans]], T_Bilansi[], 4, 0)</f>
        <v>27</v>
      </c>
      <c r="C185" s="227">
        <f>IF(AND([0]!Godina=2022,MID(Osnovni_podaci!D20,3,1)="H",Osnovni_podaci!L24=3,Osnovni_podaci!G24=0,MID(Osnovni_podaci!D20,3,1)="H",MID(Osnovni_podaci!D20,8,1)="S"),VLOOKUP(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3">
      <c r="B186" s="44">
        <f>VLOOKUP( T_ApifImport[[#This Row],[Bilans]], T_Bilansi[], 4, 0)</f>
        <v>27</v>
      </c>
      <c r="C186" s="227">
        <f>IF(AND([0]!Godina=2022,MID(Osnovni_podaci!D20,3,1)="H",Osnovni_podaci!L24=3,Osnovni_podaci!G24=0,MID(Osnovni_podaci!D20,3,1)="H",MID(Osnovni_podaci!D20,8,1)="S"),VLOOKUP(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3">
      <c r="B187" s="44">
        <f>VLOOKUP( T_ApifImport[[#This Row],[Bilans]], T_Bilansi[], 4, 0)</f>
        <v>27</v>
      </c>
      <c r="C187" s="227">
        <f>IF(AND([0]!Godina=2022,MID(Osnovni_podaci!D20,3,1)="H",Osnovni_podaci!L24=3,Osnovni_podaci!G24=0,MID(Osnovni_podaci!D20,3,1)="H",MID(Osnovni_podaci!D20,8,1)="S"),VLOOKUP(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429014</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818448</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3">
      <c r="B188" s="44">
        <f>VLOOKUP( T_ApifImport[[#This Row],[Bilans]], T_Bilansi[], 4, 0)</f>
        <v>27</v>
      </c>
      <c r="C188" s="227">
        <f>IF(AND([0]!Godina=2022,MID(Osnovni_podaci!D20,3,1)="H",Osnovni_podaci!L24=3,Osnovni_podaci!G24=0,MID(Osnovni_podaci!D20,3,1)="H",MID(Osnovni_podaci!D20,8,1)="S"),VLOOKUP(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3">
      <c r="B189" s="44">
        <f>VLOOKUP( T_ApifImport[[#This Row],[Bilans]], T_Bilansi[], 4, 0)</f>
        <v>27</v>
      </c>
      <c r="C189" s="227">
        <f>IF(AND([0]!Godina=2022,MID(Osnovni_podaci!D20,3,1)="H",Osnovni_podaci!L24=3,Osnovni_podaci!G24=0,MID(Osnovni_podaci!D20,3,1)="H",MID(Osnovni_podaci!D20,8,1)="S"),VLOOKUP(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26425</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13063</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3">
      <c r="B190" s="44">
        <f>VLOOKUP( T_ApifImport[[#This Row],[Bilans]], T_Bilansi[], 4, 0)</f>
        <v>27</v>
      </c>
      <c r="C190" s="227">
        <f>IF(AND([0]!Godina=2022,MID(Osnovni_podaci!D20,3,1)="H",Osnovni_podaci!L24=3,Osnovni_podaci!G24=0,MID(Osnovni_podaci!D20,3,1)="H",MID(Osnovni_podaci!D20,8,1)="S"),VLOOKUP(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3">
      <c r="B191" s="44">
        <f>VLOOKUP( T_ApifImport[[#This Row],[Bilans]], T_Bilansi[], 4, 0)</f>
        <v>27</v>
      </c>
      <c r="C191" s="227">
        <f>IF(AND([0]!Godina=2022,MID(Osnovni_podaci!D20,3,1)="H",Osnovni_podaci!L24=3,Osnovni_podaci!G24=0,MID(Osnovni_podaci!D20,3,1)="H",MID(Osnovni_podaci!D20,8,1)="S"),VLOOKUP(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3">
      <c r="B192" s="44">
        <f>VLOOKUP( T_ApifImport[[#This Row],[Bilans]], T_Bilansi[], 4, 0)</f>
        <v>27</v>
      </c>
      <c r="C192" s="227">
        <f>IF(AND([0]!Godina=2022,MID(Osnovni_podaci!D20,3,1)="H",Osnovni_podaci!L24=3,Osnovni_podaci!G24=0,MID(Osnovni_podaci!D20,3,1)="H",MID(Osnovni_podaci!D20,8,1)="S"),VLOOKUP(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3">
      <c r="B193" s="44">
        <f>VLOOKUP( T_ApifImport[[#This Row],[Bilans]], T_Bilansi[], 4, 0)</f>
        <v>27</v>
      </c>
      <c r="C193" s="227">
        <f>IF(AND([0]!Godina=2022,MID(Osnovni_podaci!D20,3,1)="H",Osnovni_podaci!L24=3,Osnovni_podaci!G24=0,MID(Osnovni_podaci!D20,3,1)="H",MID(Osnovni_podaci!D20,8,1)="S"),VLOOKUP(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3">
      <c r="B194" s="44">
        <f>VLOOKUP( T_ApifImport[[#This Row],[Bilans]], T_Bilansi[], 4, 0)</f>
        <v>27</v>
      </c>
      <c r="C194" s="227">
        <f>IF(AND([0]!Godina=2022,MID(Osnovni_podaci!D20,3,1)="H",Osnovni_podaci!L24=3,Osnovni_podaci!G24=0,MID(Osnovni_podaci!D20,3,1)="H",MID(Osnovni_podaci!D20,8,1)="S"),VLOOKUP(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3">
      <c r="B195" s="44">
        <f>VLOOKUP( T_ApifImport[[#This Row],[Bilans]], T_Bilansi[], 4, 0)</f>
        <v>27</v>
      </c>
      <c r="C195" s="227">
        <f>IF(AND([0]!Godina=2022,MID(Osnovni_podaci!D20,3,1)="H",Osnovni_podaci!L24=3,Osnovni_podaci!G24=0,MID(Osnovni_podaci!D20,3,1)="H",MID(Osnovni_podaci!D20,8,1)="S"),VLOOKUP(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3">
      <c r="B196" s="44">
        <f>VLOOKUP( T_ApifImport[[#This Row],[Bilans]], T_Bilansi[], 4, 0)</f>
        <v>27</v>
      </c>
      <c r="C196" s="227">
        <f>IF(AND([0]!Godina=2022,MID(Osnovni_podaci!D20,3,1)="H",Osnovni_podaci!L24=3,Osnovni_podaci!G24=0,MID(Osnovni_podaci!D20,3,1)="H",MID(Osnovni_podaci!D20,8,1)="S"),VLOOKUP(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582</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2751</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3">
      <c r="B197" s="44">
        <f>VLOOKUP( T_ApifImport[[#This Row],[Bilans]], T_Bilansi[], 4, 0)</f>
        <v>27</v>
      </c>
      <c r="C197" s="227">
        <f>IF(AND([0]!Godina=2022,MID(Osnovni_podaci!D20,3,1)="H",Osnovni_podaci!L24=3,Osnovni_podaci!G24=0,MID(Osnovni_podaci!D20,3,1)="H",MID(Osnovni_podaci!D20,8,1)="S"),VLOOKUP(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25643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4812</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3">
      <c r="B198" s="44">
        <f>VLOOKUP( T_ApifImport[[#This Row],[Bilans]], T_Bilansi[], 4, 0)</f>
        <v>27</v>
      </c>
      <c r="C198" s="227">
        <f>IF(AND([0]!Godina=2022,MID(Osnovni_podaci!D20,3,1)="H",Osnovni_podaci!L24=3,Osnovni_podaci!G24=0,MID(Osnovni_podaci!D20,3,1)="H",MID(Osnovni_podaci!D20,8,1)="S"),VLOOKUP(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3">
      <c r="B199" s="44">
        <f>VLOOKUP( T_ApifImport[[#This Row],[Bilans]], T_Bilansi[], 4, 0)</f>
        <v>27</v>
      </c>
      <c r="C199" s="227">
        <f>IF(AND([0]!Godina=2022,MID(Osnovni_podaci!D20,3,1)="H",Osnovni_podaci!L24=3,Osnovni_podaci!G24=0,MID(Osnovni_podaci!D20,3,1)="H",MID(Osnovni_podaci!D20,8,1)="S"),VLOOKUP(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1365</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3">
      <c r="B200" s="44">
        <f>VLOOKUP( T_ApifImport[[#This Row],[Bilans]], T_Bilansi[], 4, 0)</f>
        <v>27</v>
      </c>
      <c r="C200" s="227">
        <f>IF(AND([0]!Godina=2022,MID(Osnovni_podaci!D20,3,1)="H",Osnovni_podaci!L24=3,Osnovni_podaci!G24=0,MID(Osnovni_podaci!D20,3,1)="H",MID(Osnovni_podaci!D20,8,1)="S"),VLOOKUP(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3">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3">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3">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3">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3">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3">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v>
      </c>
      <c r="F20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163</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3">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3">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v>
      </c>
      <c r="F20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1202</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3">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25934</v>
      </c>
      <c r="F20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11698</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3">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3">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3">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3">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3">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3">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3">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3">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3">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3">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3">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3">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3">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3">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3">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3">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3">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3">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3">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3">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3">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3">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3">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3">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3">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3">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3">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3">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3">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3">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3">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3">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3">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3">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4054317</v>
      </c>
      <c r="F24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4636902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3">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3599369</v>
      </c>
      <c r="F24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3806756</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3">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24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830146</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3">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3">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96981</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3">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3">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3">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3">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3">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3">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3">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25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733165</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3">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3">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3">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3">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3">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0,3862</v>
      </c>
      <c r="F25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0.62239999999999995</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3">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3">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v>
      </c>
      <c r="F26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3">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v>
      </c>
      <c r="F26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3">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26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733165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3">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3">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3">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3">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3">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3">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3">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3">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3">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3">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3">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3">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3">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3">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3">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3">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454948</v>
      </c>
      <c r="F27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733165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3">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3">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3">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4884041</v>
      </c>
      <c r="F28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4591368</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3">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3952413</v>
      </c>
      <c r="F28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4027299</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3">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899128</v>
      </c>
      <c r="F28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559753</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3">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32500</v>
      </c>
      <c r="F28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3534</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3">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782</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3">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4800687</v>
      </c>
      <c r="F28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3406495</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3">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3726862</v>
      </c>
      <c r="F28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2504851</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3">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27313</v>
      </c>
      <c r="F28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68240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3">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v>
      </c>
      <c r="F29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3">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492352</v>
      </c>
      <c r="F291"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442415</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3">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106982</v>
      </c>
      <c r="F292"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32748</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3">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447156</v>
      </c>
      <c r="F293"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358226</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3">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83354</v>
      </c>
      <c r="F294"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1184873</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3">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3">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369</v>
      </c>
      <c r="F296"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7295</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3">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v>
      </c>
      <c r="F297"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3">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5500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3">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3">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IF(AND([0]!Godina=2022,MID(Osnovni_podaci!D20,3,1)="H",Osnovni_podaci!L24=3,Osnovni_podaci!G24=0,MID(Osnovni_podaci!D20,3,1)="H",MID(Osnovni_podaci!D20,8,1)="S"),IF(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3">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3">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3">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3">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3">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3">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3">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3">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169</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1795</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3">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3">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3">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3">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204928</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137120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3">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3">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204928</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137120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3">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3">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3">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3">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3">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3">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3">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3">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3">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3">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204559</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129825</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3">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3">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3">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3">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3">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3">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3">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3">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609000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3">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3">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609000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3">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3">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3">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3">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3">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3">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3">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609000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3">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4884410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4598663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3">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5005615</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4152615</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3">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446048</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3">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121205</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3">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645941</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199893</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3">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3">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3">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524736</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645941</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3">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3">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3303159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4433675</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3">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269217</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295701</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3">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552</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3">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2249767</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2540646</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3">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199775</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199511</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3">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1876</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3">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2039144</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3177582</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3">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167210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171967</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3">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472</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3">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781736</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608317</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3">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55972</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62366</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3">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3">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561</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3">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3">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3">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39491</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3">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31000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3">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3">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31000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3">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8491</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3">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3">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3">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3">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3">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3">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3">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3">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26595</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14858</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3">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3">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3534</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3">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496344</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445670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3">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3">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17025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12858</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3">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17025</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12858</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3">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242320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226760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3">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3">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34322</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56689</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3">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61571</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69771</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3">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3">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45250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11495</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3">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1365</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1288</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3">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3">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99812</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87517</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3">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3">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184629</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129731</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3">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69527</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35195</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3">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2459</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1728</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3">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3723</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3">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7733</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3305</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3">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IF(AND([0]!Godina=2022,MID(Osnovni_podaci!D20,3,1)="H",Osnovni_podaci!L24=3,Osnovni_podaci!G24=0,MID(Osnovni_podaci!D20,3,1)="H",MID(Osnovni_podaci!D20,8,1)="S"),IF(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16068</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12748</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3">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8497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7293</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3">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1962</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1307</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3">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60830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60201</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3">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4555</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7537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3">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15457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2145</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3">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3">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522658</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686156</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3">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460787</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491571</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3">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5275</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16177</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3">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3">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115545</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110718</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3">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115545</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110718</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3">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3">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3">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3">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28987</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26818</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3">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1849561</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837465</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-327712</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3537313</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3537313</v>
      </c>
      <c r="O417" s="8">
        <v>420</v>
      </c>
      <c r="P417" s="568" t="s">
        <v>135</v>
      </c>
    </row>
    <row r="418" spans="2:16" x14ac:dyDescent="0.3">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3">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3">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1849561</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837465</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-327712</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3537313</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3537313</v>
      </c>
      <c r="O420" s="8">
        <v>424</v>
      </c>
      <c r="P420" s="568" t="s">
        <v>135</v>
      </c>
    </row>
    <row r="421" spans="2:16" x14ac:dyDescent="0.3">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733165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733165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733165</v>
      </c>
      <c r="O421" s="8">
        <v>426</v>
      </c>
      <c r="P421" s="568" t="s">
        <v>135</v>
      </c>
    </row>
    <row r="422" spans="2:16" x14ac:dyDescent="0.3">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3">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733165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733165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733165</v>
      </c>
      <c r="O423" s="8">
        <v>428</v>
      </c>
      <c r="P423" s="568" t="s">
        <v>135</v>
      </c>
    </row>
    <row r="424" spans="2:16" x14ac:dyDescent="0.3">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3">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3">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3">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-327712</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327712</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3">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3">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1521849</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837465</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733165</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4270478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4270478</v>
      </c>
      <c r="O429" s="8">
        <v>436</v>
      </c>
      <c r="P429" s="568" t="s">
        <v>135</v>
      </c>
    </row>
    <row r="430" spans="2:16" x14ac:dyDescent="0.3">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3">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3">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1521849</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837465</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733165</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4270478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4270478</v>
      </c>
      <c r="O432" s="8">
        <v>440</v>
      </c>
      <c r="P432" s="568" t="s">
        <v>135</v>
      </c>
    </row>
    <row r="433" spans="2:16" x14ac:dyDescent="0.3">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454948</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454948</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454948</v>
      </c>
      <c r="O433" s="8">
        <v>442</v>
      </c>
      <c r="P433" s="568" t="s">
        <v>135</v>
      </c>
    </row>
    <row r="434" spans="2:16" x14ac:dyDescent="0.3">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3">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454948</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454948</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454948</v>
      </c>
      <c r="O435" s="8">
        <v>444</v>
      </c>
      <c r="P435" s="568" t="s">
        <v>135</v>
      </c>
    </row>
    <row r="436" spans="2:16" x14ac:dyDescent="0.3">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3">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3">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3">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733165</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-733165</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3">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3">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1177999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2255014</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837465</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454948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4725426</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4725426</v>
      </c>
      <c r="O441" s="8">
        <v>452</v>
      </c>
      <c r="P441" s="568" t="s">
        <v>135</v>
      </c>
    </row>
  </sheetData>
  <sheetProtection algorithmName="SHA-512" hashValue="zI0YNOkJJ2coPh/Irz7RFNs5vMMEQ7aF6Ot2hfTtXQzZdm829WXKcYN0EEtgxj5bBUAPronboPWJg0GI37FvrA==" saltValue="1NgX//sCQcXOhhiwcqBJQQ==" spinCount="100000" sheet="1" objects="1" scenarios="1"/>
  <phoneticPr fontId="27" type="noConversion"/>
  <conditionalFormatting sqref="B1:O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O282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C280:C409 F280:I281 P280:P415 J280:N415 O424 O426 O428 O430 O432 O434 O436 O438 O440 E282:I396 C137:C277 P137:P277 E137:N277 D137:D441 C2:P135">
    <cfRule type="expression" dxfId="22" priority="73">
      <formula>$B2&lt;&gt;$B1</formula>
    </cfRule>
  </conditionalFormatting>
  <conditionalFormatting sqref="E397:I409 B2:B441">
    <cfRule type="expression" dxfId="21" priority="2527">
      <formula>#REF!&lt;&gt;$B2</formula>
    </cfRule>
  </conditionalFormatting>
  <conditionalFormatting sqref="C136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20:O421 O136:O137 O417:O418 O423 O425 O427 O429 O431 O433 O435 O437 O439 O441 E136:I136">
    <cfRule type="expression" dxfId="20" priority="2589">
      <formula>#REF!&lt;&gt;$B136</formula>
    </cfRule>
  </conditionalFormatting>
  <conditionalFormatting sqref="C278:C279 E280:E281 E278:P279">
    <cfRule type="expression" dxfId="19" priority="2608">
      <formula>#REF!&lt;&gt;$B278</formula>
    </cfRule>
  </conditionalFormatting>
  <conditionalFormatting sqref="J416:P416">
    <cfRule type="expression" dxfId="18" priority="2697">
      <formula>#REF!&lt;&gt;$B416</formula>
    </cfRule>
  </conditionalFormatting>
  <conditionalFormatting sqref="P136 J136:N136 D136">
    <cfRule type="expression" dxfId="17" priority="2701">
      <formula>#REF!&lt;&gt;$B136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03" activePane="bottomRight" state="frozen"/>
      <selection activeCell="S33" sqref="S33"/>
      <selection pane="topRight" activeCell="S33" sqref="S33"/>
      <selection pane="bottomLeft" activeCell="S33" sqref="S33"/>
      <selection pane="bottomRight" activeCell="D49" sqref="D49:V49"/>
    </sheetView>
  </sheetViews>
  <sheetFormatPr defaultColWidth="0" defaultRowHeight="13.8" zeroHeight="1" x14ac:dyDescent="0.3"/>
  <cols>
    <col min="1" max="1" width="5.6640625" style="8" customWidth="1"/>
    <col min="2" max="2" width="41.44140625" style="8" customWidth="1"/>
    <col min="3" max="3" width="2.88671875" style="8" customWidth="1"/>
    <col min="4" max="23" width="3.109375" style="8" customWidth="1"/>
    <col min="24" max="24" width="11.44140625" style="8" customWidth="1"/>
    <col min="25" max="26" width="13.109375" style="8" hidden="1" customWidth="1"/>
    <col min="27" max="27" width="37.6640625" style="8" hidden="1" customWidth="1"/>
    <col min="28" max="28" width="38.109375" style="8" customWidth="1"/>
    <col min="29" max="30" width="9.109375" style="8" hidden="1" customWidth="1"/>
    <col min="31" max="31" width="12" style="8" hidden="1" customWidth="1"/>
    <col min="32" max="33" width="9.109375" style="8" hidden="1" customWidth="1"/>
    <col min="34" max="16384" width="0" style="8" hidden="1"/>
  </cols>
  <sheetData>
    <row r="1" spans="2:31" ht="21" customHeight="1" x14ac:dyDescent="0.3"/>
    <row r="2" spans="2:31" ht="21" customHeight="1" x14ac:dyDescent="0.3">
      <c r="AA2" s="98"/>
    </row>
    <row r="3" spans="2:31" ht="19.5" customHeight="1" x14ac:dyDescent="0.3"/>
    <row r="4" spans="2:31" ht="16.5" customHeight="1" thickBot="1" x14ac:dyDescent="0.35"/>
    <row r="5" spans="2:31" ht="20.25" customHeight="1" thickBot="1" x14ac:dyDescent="0.35">
      <c r="B5" s="90" t="str">
        <f>Osnovno_Izaberite_jezik</f>
        <v>Izaberite jezik | Choose language</v>
      </c>
      <c r="C5"/>
      <c r="Y5" s="8">
        <f>COUNTIF(Y8:Y116, FALSE)</f>
        <v>2</v>
      </c>
      <c r="Z5" s="8">
        <f>COUNTIF(Z8:Z116, FALSE)</f>
        <v>0</v>
      </c>
    </row>
    <row r="6" spans="2:31" ht="12.75" customHeight="1" x14ac:dyDescent="0.3">
      <c r="Y6" s="120" t="s">
        <v>485</v>
      </c>
      <c r="Z6" s="120" t="s">
        <v>486</v>
      </c>
      <c r="AA6" s="147" t="s">
        <v>487</v>
      </c>
      <c r="AB6" s="148" t="s">
        <v>484</v>
      </c>
    </row>
    <row r="7" spans="2:31" ht="15.75" customHeight="1" thickBot="1" x14ac:dyDescent="0.35">
      <c r="B7" s="100" t="str">
        <f>Osnovno_Izvjestajni_period</f>
        <v>Reporting Period:</v>
      </c>
      <c r="D7" s="86" t="str">
        <f>Objasnjenja_Dan</f>
        <v>Day</v>
      </c>
      <c r="E7" s="86"/>
      <c r="F7" s="86"/>
      <c r="G7" s="86" t="str">
        <f>Objasnjenja_Mjesec</f>
        <v>Month</v>
      </c>
      <c r="H7" s="86"/>
      <c r="I7" s="86"/>
      <c r="J7" s="86" t="str">
        <f>Objasnjenja_Godina</f>
        <v>Year</v>
      </c>
      <c r="K7" s="86"/>
      <c r="L7" s="86"/>
      <c r="M7" s="86"/>
    </row>
    <row r="8" spans="2:31" ht="15" customHeight="1" x14ac:dyDescent="0.3">
      <c r="B8" s="85" t="str">
        <f>Osnovno_Pocetak_perioda</f>
        <v>Start of Reporting Period:</v>
      </c>
      <c r="D8" s="577">
        <v>1</v>
      </c>
      <c r="E8" s="577"/>
      <c r="F8" s="44"/>
      <c r="G8" s="577">
        <v>1</v>
      </c>
      <c r="H8" s="577"/>
      <c r="I8" s="44"/>
      <c r="J8" s="580">
        <v>2022</v>
      </c>
      <c r="K8" s="581"/>
      <c r="L8" s="58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3">
      <c r="B9" s="85"/>
      <c r="J9" s="583"/>
      <c r="K9" s="584"/>
      <c r="L9" s="585"/>
      <c r="Y9" s="14"/>
      <c r="Z9" s="14"/>
      <c r="AA9" s="96"/>
      <c r="AB9" s="93"/>
    </row>
    <row r="10" spans="2:31" ht="15.75" customHeight="1" thickBot="1" x14ac:dyDescent="0.35">
      <c r="B10" s="85" t="str">
        <f>Osnovno_Kraj_perioda</f>
        <v>End of Reporting Period:</v>
      </c>
      <c r="D10" s="578">
        <v>31</v>
      </c>
      <c r="E10" s="579"/>
      <c r="F10" s="44"/>
      <c r="G10" s="578">
        <v>12</v>
      </c>
      <c r="H10" s="579"/>
      <c r="I10" s="44"/>
      <c r="J10" s="586"/>
      <c r="K10" s="587"/>
      <c r="L10" s="58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3">
      <c r="B11" s="85"/>
      <c r="D11"/>
      <c r="E11"/>
      <c r="F11"/>
      <c r="G11"/>
      <c r="H11"/>
      <c r="I11"/>
      <c r="J11"/>
      <c r="K11"/>
      <c r="L11"/>
      <c r="M11"/>
      <c r="Y11" s="14"/>
      <c r="Z11" s="44"/>
      <c r="AA11" s="86"/>
      <c r="AB11" s="93"/>
    </row>
    <row r="12" spans="2:31" ht="15" customHeight="1" x14ac:dyDescent="0.3">
      <c r="B12" s="85" t="str">
        <f>Osnovno_Vrsta_izvjestaja</f>
        <v>Report type:</v>
      </c>
      <c r="D12" s="167" t="str">
        <f>IF( AND( DATE( Godina, Period_Pocetak_Mjesec, Period_Pocetak_Dan) = DATE( Godina, 1, 1), NOT( ISNA( VLOOKUP( Datum_Broj,T_Vrsta_izvjestaja[], 2, 0)))), VLOOKUP( Datum_Broj,T_Vrsta_izvjestaja[], 3, 0), Vrsta_izvjestaja_Specificni)</f>
        <v>Annual</v>
      </c>
      <c r="E12" s="167"/>
      <c r="F12" s="167"/>
      <c r="G12" s="167"/>
      <c r="H12" s="167"/>
      <c r="I12" s="167"/>
      <c r="J12" s="167"/>
      <c r="K12" s="167"/>
      <c r="L12" s="167"/>
      <c r="M12"/>
      <c r="N12"/>
      <c r="O12"/>
      <c r="P12"/>
      <c r="Q12"/>
      <c r="R12"/>
      <c r="S12"/>
      <c r="T12"/>
      <c r="U12"/>
      <c r="V12"/>
      <c r="Y12" s="14"/>
      <c r="Z12" s="14"/>
      <c r="AA12" s="86"/>
      <c r="AB12" s="92" t="str">
        <f>D12</f>
        <v>Annual</v>
      </c>
    </row>
    <row r="13" spans="2:31" ht="13.5" customHeight="1" x14ac:dyDescent="0.3">
      <c r="B13" s="47"/>
      <c r="M13"/>
      <c r="N13"/>
      <c r="O13"/>
      <c r="P13"/>
      <c r="Q13"/>
      <c r="R13"/>
      <c r="S13"/>
      <c r="T13"/>
      <c r="U13"/>
      <c r="V13"/>
      <c r="Y13" s="14"/>
      <c r="Z13" s="14"/>
      <c r="AA13" s="96"/>
      <c r="AB13" s="93"/>
    </row>
    <row r="14" spans="2:31" ht="15.75" customHeight="1" x14ac:dyDescent="0.3">
      <c r="B14" s="100" t="str">
        <f>Objasnjenja_Zaglavlje</f>
        <v>Header:</v>
      </c>
      <c r="Y14" s="14"/>
      <c r="Z14" s="14"/>
      <c r="AA14" s="96"/>
      <c r="AB14" s="93"/>
    </row>
    <row r="15" spans="2:31" ht="15" customHeight="1" x14ac:dyDescent="0.3">
      <c r="B15" s="85" t="str">
        <f>Zaglavlje_MB</f>
        <v>ID Number</v>
      </c>
      <c r="D15" s="83">
        <v>0</v>
      </c>
      <c r="E15" s="83">
        <v>1</v>
      </c>
      <c r="F15" s="83">
        <v>7</v>
      </c>
      <c r="G15" s="83">
        <v>5</v>
      </c>
      <c r="H15" s="83">
        <v>5</v>
      </c>
      <c r="I15" s="83">
        <v>6</v>
      </c>
      <c r="J15" s="83">
        <v>3</v>
      </c>
      <c r="K15" s="83">
        <v>3</v>
      </c>
      <c r="Y15" s="14" t="b">
        <f>LEN(AA15) &gt;= 7</f>
        <v>1</v>
      </c>
      <c r="Z15" s="14" t="b">
        <v>1</v>
      </c>
      <c r="AA15" s="96" t="str">
        <f>CONCATENATE( D15, E15, F15, G15, H15, I15, J15, K15)</f>
        <v>01755633</v>
      </c>
      <c r="AB15" s="92" t="str">
        <f>IF(Y15, IF( Z15, AA15, Kontrola_Neispravno), Kontrola_Obavezno)</f>
        <v>01755633</v>
      </c>
    </row>
    <row r="16" spans="2:31" ht="4.5" customHeight="1" x14ac:dyDescent="0.3">
      <c r="B16" s="85"/>
      <c r="Y16" s="14"/>
      <c r="Z16" s="14"/>
      <c r="AA16" s="96"/>
      <c r="AB16" s="93"/>
    </row>
    <row r="17" spans="2:31" ht="15" customHeight="1" x14ac:dyDescent="0.3">
      <c r="B17" s="85" t="str">
        <f>Zaglavlje_Sifra_djelatnosti</f>
        <v>Code of Industry</v>
      </c>
      <c r="D17" s="83">
        <v>2</v>
      </c>
      <c r="E17" s="83">
        <v>0</v>
      </c>
      <c r="F17" s="87" t="s">
        <v>400</v>
      </c>
      <c r="G17" s="83">
        <v>1</v>
      </c>
      <c r="H17" s="83">
        <v>1</v>
      </c>
      <c r="I17" s="91"/>
      <c r="Y17" s="14" t="b">
        <f>AND( D17 &lt;&gt; "", LEN( AA17) &gt;= 5)</f>
        <v>1</v>
      </c>
      <c r="Z17" s="14" t="b">
        <v>1</v>
      </c>
      <c r="AA17" s="96" t="str">
        <f>CONCATENATE( D17, E17, F17, G17, H17, I17)</f>
        <v>20.11</v>
      </c>
      <c r="AB17" s="92" t="str">
        <f>IF(Y17, IF( Z17, AA17, Kontrola_Neispravno), Kontrola_Obavezno)</f>
        <v>20.11</v>
      </c>
      <c r="AE17" s="88"/>
    </row>
    <row r="18" spans="2:31" ht="4.5" customHeight="1" x14ac:dyDescent="0.3">
      <c r="B18" s="85"/>
      <c r="Y18" s="14"/>
      <c r="Z18" s="14"/>
      <c r="AA18" s="96"/>
      <c r="AB18" s="93"/>
    </row>
    <row r="19" spans="2:31" ht="12.75" customHeight="1" x14ac:dyDescent="0.3">
      <c r="B19" s="589" t="str">
        <f>Zaglavlje_Naziv_preduzeca</f>
        <v>Company Name:</v>
      </c>
      <c r="Y19" s="14"/>
      <c r="Z19" s="14"/>
      <c r="AA19" s="96"/>
      <c r="AB19" s="93"/>
    </row>
    <row r="20" spans="2:31" ht="22.5" customHeight="1" x14ac:dyDescent="0.3">
      <c r="B20" s="589"/>
      <c r="D20" s="590" t="s">
        <v>3074</v>
      </c>
      <c r="E20" s="590"/>
      <c r="F20" s="590"/>
      <c r="G20" s="590"/>
      <c r="H20" s="590"/>
      <c r="I20" s="590"/>
      <c r="J20" s="590"/>
      <c r="K20" s="590"/>
      <c r="L20" s="590"/>
      <c r="M20" s="590"/>
      <c r="N20" s="590"/>
      <c r="O20" s="590"/>
      <c r="P20" s="590"/>
      <c r="Q20" s="590"/>
      <c r="R20" s="590"/>
      <c r="S20" s="590"/>
      <c r="T20" s="590"/>
      <c r="U20" s="590"/>
      <c r="V20" s="590"/>
      <c r="Y20" s="14" t="b">
        <f>LEN(AA20) &gt; 0</f>
        <v>1</v>
      </c>
      <c r="Z20" s="14" t="b">
        <v>1</v>
      </c>
      <c r="AA20" s="96" t="str">
        <f>CONCATENATE( D20)</f>
        <v>TEHNOGAS-KAKMUŽ AD PETROVO</v>
      </c>
      <c r="AB20" s="94" t="str">
        <f>IF(Y20, IF( Z20, AA20, Kontrola_Neispravno), Kontrola_Obavezno)</f>
        <v>TEHNOGAS-KAKMUŽ AD PETROVO</v>
      </c>
    </row>
    <row r="21" spans="2:31" ht="8.25" customHeight="1" x14ac:dyDescent="0.3">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3">
      <c r="B22" s="85" t="str">
        <f>Zaglavlje_Sjediste</f>
        <v>Registered Office:</v>
      </c>
      <c r="D22" s="596" t="s">
        <v>3075</v>
      </c>
      <c r="E22" s="597"/>
      <c r="F22" s="597"/>
      <c r="G22" s="597"/>
      <c r="H22" s="597"/>
      <c r="I22" s="597"/>
      <c r="J22" s="597"/>
      <c r="K22" s="597"/>
      <c r="L22" s="597"/>
      <c r="M22" s="597"/>
      <c r="N22" s="597"/>
      <c r="O22" s="597"/>
      <c r="P22" s="597"/>
      <c r="Q22" s="597"/>
      <c r="R22" s="597"/>
      <c r="S22" s="597"/>
      <c r="T22" s="597"/>
      <c r="U22" s="597"/>
      <c r="V22" s="597"/>
      <c r="Y22" s="14" t="b">
        <f>LEN(AA22) &gt; 0</f>
        <v>1</v>
      </c>
      <c r="Z22" s="14" t="b">
        <v>1</v>
      </c>
      <c r="AA22" s="96" t="str">
        <f>CONCATENATE( D22)</f>
        <v>PETROVO</v>
      </c>
      <c r="AB22" s="92" t="str">
        <f>IF(Y22, IF( Z22, AA22, Kontrola_Neispravno), Kontrola_Obavezno)</f>
        <v>PETROVO</v>
      </c>
    </row>
    <row r="23" spans="2:31" ht="6.75" customHeight="1" x14ac:dyDescent="0.3">
      <c r="B23" s="85"/>
      <c r="Y23" s="14"/>
      <c r="Z23" s="14"/>
      <c r="AA23" s="96"/>
      <c r="AB23" s="93"/>
    </row>
    <row r="24" spans="2:31" ht="15" customHeight="1" x14ac:dyDescent="0.3">
      <c r="B24" s="85" t="str">
        <f>Zaglavlje_JIB</f>
        <v>Tax Number</v>
      </c>
      <c r="D24" s="573">
        <v>4</v>
      </c>
      <c r="E24" s="574">
        <v>4</v>
      </c>
      <c r="F24" s="575">
        <v>0</v>
      </c>
      <c r="G24" s="573">
        <v>0</v>
      </c>
      <c r="H24" s="574">
        <v>2</v>
      </c>
      <c r="I24" s="575">
        <v>2</v>
      </c>
      <c r="J24" s="573">
        <v>8</v>
      </c>
      <c r="K24" s="574">
        <v>1</v>
      </c>
      <c r="L24" s="575">
        <v>3</v>
      </c>
      <c r="M24" s="574">
        <v>0</v>
      </c>
      <c r="N24" s="575">
        <v>0</v>
      </c>
      <c r="O24" s="574">
        <v>0</v>
      </c>
      <c r="P24" s="575">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4400228130004</v>
      </c>
      <c r="AB24" s="92" t="str">
        <f>IF(Y24, IF( Z24, AA24, Kontrola_Neispravno), Kontrola_Obavezno)</f>
        <v>4400228130004</v>
      </c>
    </row>
    <row r="25" spans="2:31" ht="15" customHeight="1" x14ac:dyDescent="0.3">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3">
      <c r="B26" s="117" t="str">
        <f>Objasnjenja_Bankovni_racun</f>
        <v>Bank Account Numbers:</v>
      </c>
      <c r="Y26" s="14"/>
      <c r="Z26" s="14"/>
      <c r="AA26" s="96"/>
      <c r="AB26" s="93"/>
    </row>
    <row r="27" spans="2:31" ht="15" customHeight="1" x14ac:dyDescent="0.3">
      <c r="B27" s="85" t="str">
        <f>Objasnjenja_Glavni_racun</f>
        <v>Main Bank Account</v>
      </c>
      <c r="D27" s="83">
        <v>5</v>
      </c>
      <c r="E27" s="83">
        <v>6</v>
      </c>
      <c r="F27" s="83">
        <v>2</v>
      </c>
      <c r="G27" s="84" t="s">
        <v>399</v>
      </c>
      <c r="H27" s="83">
        <v>0</v>
      </c>
      <c r="I27" s="83">
        <v>0</v>
      </c>
      <c r="J27" s="83">
        <v>5</v>
      </c>
      <c r="K27" s="84" t="s">
        <v>399</v>
      </c>
      <c r="L27" s="83">
        <v>0</v>
      </c>
      <c r="M27" s="83">
        <v>0</v>
      </c>
      <c r="N27" s="83">
        <v>0</v>
      </c>
      <c r="O27" s="83">
        <v>0</v>
      </c>
      <c r="P27" s="83">
        <v>0</v>
      </c>
      <c r="Q27" s="83">
        <v>0</v>
      </c>
      <c r="R27" s="83">
        <v>3</v>
      </c>
      <c r="S27" s="83">
        <v>1</v>
      </c>
      <c r="T27" s="44" t="s">
        <v>399</v>
      </c>
      <c r="U27" s="83">
        <v>6</v>
      </c>
      <c r="V27" s="83">
        <v>0</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5620050000003160</v>
      </c>
      <c r="AB27" s="92" t="str">
        <f>IF(Y27, IF( Z27, CONCATENATE( D27, E27, F27, G27, H27, I27, J27, K27, L27, M27, N27, O27, P27, Q27, R27, S27, T27, U27, V27), Kontrola_Neispravno), Kontrola_Obavezno)</f>
        <v>562-005-00000031-60</v>
      </c>
    </row>
    <row r="28" spans="2:31" ht="4.5" customHeight="1" x14ac:dyDescent="0.3">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3">
      <c r="B29" s="85"/>
      <c r="D29" s="83">
        <v>5</v>
      </c>
      <c r="E29" s="83">
        <v>5</v>
      </c>
      <c r="F29" s="83">
        <v>1</v>
      </c>
      <c r="G29" s="84" t="s">
        <v>399</v>
      </c>
      <c r="H29" s="83">
        <v>0</v>
      </c>
      <c r="I29" s="83">
        <v>0</v>
      </c>
      <c r="J29" s="83">
        <v>4</v>
      </c>
      <c r="K29" s="84" t="s">
        <v>399</v>
      </c>
      <c r="L29" s="83">
        <v>0</v>
      </c>
      <c r="M29" s="83">
        <v>0</v>
      </c>
      <c r="N29" s="83">
        <v>0</v>
      </c>
      <c r="O29" s="83">
        <v>0</v>
      </c>
      <c r="P29" s="83">
        <v>9</v>
      </c>
      <c r="Q29" s="83">
        <v>7</v>
      </c>
      <c r="R29" s="83">
        <v>5</v>
      </c>
      <c r="S29" s="83">
        <v>1</v>
      </c>
      <c r="T29" s="44" t="s">
        <v>399</v>
      </c>
      <c r="U29" s="83">
        <v>2</v>
      </c>
      <c r="V29" s="83">
        <v>0</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5510040000975120</v>
      </c>
      <c r="AB29" s="92" t="str">
        <f>IF( LEN(AA29) = 0, "", IF( AND( LEN(AA29) = 16, Z29), CONCATENATE( D29, E29, F29, G29, H29, I29, J29, K29, L29, M29, N29, O29, P29, Q29, R29, S29, T29, U29, V29), Kontrola_Neispravno))</f>
        <v>551-004-00009751-20</v>
      </c>
    </row>
    <row r="30" spans="2:31" ht="4.5" customHeight="1" x14ac:dyDescent="0.3">
      <c r="B30" s="85"/>
      <c r="Y30" s="14"/>
      <c r="Z30" s="14"/>
      <c r="AA30" s="96"/>
      <c r="AB30" s="93"/>
    </row>
    <row r="31" spans="2:31" ht="15" customHeight="1" x14ac:dyDescent="0.3">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3">
      <c r="B32" s="85"/>
      <c r="Y32" s="14"/>
      <c r="Z32" s="14"/>
      <c r="AA32" s="96"/>
      <c r="AB32" s="93"/>
    </row>
    <row r="33" spans="2:28" ht="15" customHeight="1" x14ac:dyDescent="0.3">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3">
      <c r="B34" s="85"/>
      <c r="Y34" s="14"/>
      <c r="Z34" s="14"/>
      <c r="AA34" s="96"/>
      <c r="AB34" s="93"/>
    </row>
    <row r="35" spans="2:28" ht="15" customHeight="1" x14ac:dyDescent="0.3">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3">
      <c r="B36" s="85"/>
      <c r="Y36" s="14"/>
      <c r="Z36" s="14"/>
      <c r="AA36" s="96"/>
      <c r="AB36" s="93"/>
    </row>
    <row r="37" spans="2:28" ht="15" customHeight="1" x14ac:dyDescent="0.3">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3">
      <c r="B38" s="85"/>
      <c r="Y38" s="14"/>
      <c r="Z38" s="14"/>
      <c r="AA38" s="96"/>
      <c r="AB38" s="93"/>
    </row>
    <row r="39" spans="2:28" ht="15.75" customHeight="1" x14ac:dyDescent="0.3">
      <c r="B39" s="100" t="str">
        <f>Objasnjenja_Podnozje</f>
        <v>Footer:</v>
      </c>
      <c r="Y39" s="14"/>
      <c r="Z39" s="14"/>
      <c r="AA39" s="96"/>
      <c r="AB39" s="93"/>
    </row>
    <row r="40" spans="2:28" ht="15" customHeight="1" x14ac:dyDescent="0.3">
      <c r="B40" s="85" t="str">
        <f>Podnozje_U</f>
        <v>In</v>
      </c>
      <c r="D40" s="594" t="s">
        <v>3077</v>
      </c>
      <c r="E40" s="595"/>
      <c r="F40" s="595"/>
      <c r="G40" s="595"/>
      <c r="H40" s="595"/>
      <c r="I40" s="595"/>
      <c r="J40" s="595"/>
      <c r="K40" s="595"/>
      <c r="L40" s="595"/>
      <c r="M40" s="595"/>
      <c r="N40" s="595"/>
      <c r="O40" s="595"/>
      <c r="P40" s="595"/>
      <c r="Q40" s="595"/>
      <c r="R40" s="595"/>
      <c r="S40" s="595"/>
      <c r="T40" s="595"/>
      <c r="U40" s="595"/>
      <c r="V40" s="595"/>
      <c r="Y40" s="14" t="b">
        <f>LEN(AA40) &gt; 0</f>
        <v>1</v>
      </c>
      <c r="Z40" s="14" t="b">
        <v>1</v>
      </c>
      <c r="AA40" s="96" t="str">
        <f>CONCATENATE( D40)</f>
        <v>Kakmužu</v>
      </c>
      <c r="AB40" s="94" t="str">
        <f>IF(Y40, IF( Z40, AA40, Kontrola_Neispravno), Kontrola_Obavezno)</f>
        <v>Kakmužu</v>
      </c>
    </row>
    <row r="41" spans="2:28" ht="4.5" customHeight="1" x14ac:dyDescent="0.3">
      <c r="B41" s="85"/>
      <c r="D41"/>
      <c r="E41"/>
      <c r="F41"/>
      <c r="G41"/>
      <c r="H41"/>
      <c r="I41"/>
      <c r="J41"/>
      <c r="K41"/>
      <c r="L41"/>
      <c r="M41"/>
      <c r="N41"/>
      <c r="O41"/>
      <c r="P41"/>
      <c r="Q41"/>
      <c r="R41"/>
      <c r="S41"/>
      <c r="T41"/>
      <c r="U41"/>
      <c r="V41"/>
      <c r="Y41" s="14"/>
      <c r="Z41" s="14"/>
      <c r="AA41" s="96"/>
      <c r="AB41" s="93"/>
    </row>
    <row r="42" spans="2:28" ht="15" customHeight="1" x14ac:dyDescent="0.3">
      <c r="B42" s="47"/>
      <c r="D42" s="86" t="str">
        <f>Objasnjenja_Dan</f>
        <v>Day</v>
      </c>
      <c r="E42" s="86"/>
      <c r="F42" s="86"/>
      <c r="G42" s="86" t="str">
        <f>Objasnjenja_Mjesec</f>
        <v>Month</v>
      </c>
      <c r="H42" s="86"/>
      <c r="I42" s="86"/>
      <c r="J42" s="86" t="str">
        <f>Objasnjenja_Godina</f>
        <v>Year</v>
      </c>
      <c r="K42" s="86"/>
      <c r="L42" s="86"/>
      <c r="M42" s="86"/>
      <c r="Y42" s="14"/>
      <c r="Z42" s="14"/>
      <c r="AA42" s="96"/>
      <c r="AB42" s="93"/>
    </row>
    <row r="43" spans="2:28" ht="15" customHeight="1" x14ac:dyDescent="0.3">
      <c r="B43" s="85" t="str">
        <f>Podnozje_Dana</f>
        <v>Date:</v>
      </c>
      <c r="D43" s="591">
        <v>21</v>
      </c>
      <c r="E43" s="593"/>
      <c r="F43" s="44"/>
      <c r="G43" s="591">
        <v>2</v>
      </c>
      <c r="H43" s="593"/>
      <c r="I43" s="44"/>
      <c r="J43" s="591">
        <v>2022</v>
      </c>
      <c r="K43" s="592"/>
      <c r="L43" s="593"/>
      <c r="M43"/>
      <c r="Y43" s="14" t="b">
        <f>AND( D43 &lt;&gt; "", G43 &lt;&gt; "", J43 &lt;&gt; "")</f>
        <v>1</v>
      </c>
      <c r="Z43" s="44" t="b">
        <f>IF( Y43, TEXT( DATE( J43, G43, D43), "dd.mm.yyyy" ) = TEXT( D43, "00") &amp; "." &amp; TEXT( G43, "00") &amp;"." &amp; CONCATENATE( J43), FALSE)</f>
        <v>1</v>
      </c>
      <c r="AA43" s="86" t="str">
        <f>IF( OR( Y43, Z43), TEXT( DATE( J43, G43, D43), "dd.mm.yyyy."), "")</f>
        <v>21.02.2022.</v>
      </c>
      <c r="AB43" s="94" t="str">
        <f>IF(Y43, IF( Z43, AA43, Kontrola_Neispravno), Kontrola_Obavezno)</f>
        <v>21.02.2022.</v>
      </c>
    </row>
    <row r="44" spans="2:28" ht="4.5" customHeight="1" x14ac:dyDescent="0.3">
      <c r="B44" s="85"/>
      <c r="D44"/>
      <c r="E44"/>
      <c r="F44"/>
      <c r="G44"/>
      <c r="H44"/>
      <c r="I44"/>
      <c r="J44"/>
      <c r="K44"/>
      <c r="L44"/>
      <c r="M44"/>
      <c r="N44"/>
      <c r="Y44" s="14"/>
      <c r="Z44" s="14"/>
      <c r="AA44" s="96"/>
      <c r="AB44" s="93"/>
    </row>
    <row r="45" spans="2:28" ht="15" customHeight="1" x14ac:dyDescent="0.3">
      <c r="B45" s="85" t="str">
        <f>Podnozje_Lice_sa_licencom</f>
        <v>Authorized Accountant:</v>
      </c>
      <c r="D45" s="594" t="s">
        <v>3078</v>
      </c>
      <c r="E45" s="595"/>
      <c r="F45" s="595"/>
      <c r="G45" s="595"/>
      <c r="H45" s="595"/>
      <c r="I45" s="595"/>
      <c r="J45" s="595"/>
      <c r="K45" s="595"/>
      <c r="L45" s="595"/>
      <c r="M45" s="595"/>
      <c r="N45" s="595"/>
      <c r="O45" s="595"/>
      <c r="P45" s="595"/>
      <c r="Q45" s="595"/>
      <c r="R45" s="595"/>
      <c r="S45" s="595"/>
      <c r="T45" s="595"/>
      <c r="U45" s="595"/>
      <c r="V45" s="595"/>
      <c r="Y45" s="14" t="b">
        <f>LEN(AA45) &gt; 0</f>
        <v>1</v>
      </c>
      <c r="Z45" s="14" t="b">
        <v>1</v>
      </c>
      <c r="AA45" s="96" t="str">
        <f>CONCATENATE( D45)</f>
        <v>Žarko Tripunović</v>
      </c>
      <c r="AB45" s="94" t="str">
        <f>IF(Y45, IF( Z45, AA45, Kontrola_Neispravno), Kontrola_Obavezno)</f>
        <v>Žarko Tripunović</v>
      </c>
    </row>
    <row r="46" spans="2:28" ht="4.5" customHeight="1" x14ac:dyDescent="0.3">
      <c r="B46" s="85"/>
      <c r="Y46" s="14"/>
      <c r="Z46" s="14"/>
      <c r="AA46" s="96"/>
      <c r="AB46" s="93"/>
    </row>
    <row r="47" spans="2:28" ht="15" customHeight="1" x14ac:dyDescent="0.3">
      <c r="B47" s="85" t="str">
        <f>Podnozje_Broj_licence</f>
        <v>Licence No.:</v>
      </c>
      <c r="D47" s="594" t="s">
        <v>3082</v>
      </c>
      <c r="E47" s="595"/>
      <c r="F47" s="595"/>
      <c r="G47" s="595"/>
      <c r="H47" s="595"/>
      <c r="I47" s="595"/>
      <c r="J47" s="595"/>
      <c r="K47" s="595"/>
      <c r="L47" s="595"/>
      <c r="M47" s="595"/>
      <c r="N47" s="595"/>
      <c r="O47" s="595"/>
      <c r="P47" s="595"/>
      <c r="Q47" s="595"/>
      <c r="R47" s="595"/>
      <c r="S47" s="595"/>
      <c r="T47" s="595"/>
      <c r="U47" s="595"/>
      <c r="V47" s="595"/>
      <c r="Y47" s="14" t="b">
        <f>LEN(AA47) &gt; 0</f>
        <v>1</v>
      </c>
      <c r="Z47" s="14" t="b">
        <v>1</v>
      </c>
      <c r="AA47" s="96" t="str">
        <f>CONCATENATE( D47)</f>
        <v>SR-1138/23</v>
      </c>
      <c r="AB47" s="94" t="str">
        <f>IF(Y47, IF( Z47, AA47, Kontrola_Neispravno), Kontrola_Obavezno)</f>
        <v>SR-1138/23</v>
      </c>
    </row>
    <row r="48" spans="2:28" ht="4.5" customHeight="1" x14ac:dyDescent="0.3">
      <c r="B48" s="85"/>
      <c r="Y48" s="14"/>
      <c r="Z48" s="14"/>
      <c r="AA48" s="96"/>
      <c r="AB48" s="93"/>
    </row>
    <row r="49" spans="2:28" ht="15" customHeight="1" x14ac:dyDescent="0.3">
      <c r="B49" s="116" t="str">
        <f>Podnozje_Direktor</f>
        <v>CEO:</v>
      </c>
      <c r="D49" s="594" t="s">
        <v>3079</v>
      </c>
      <c r="E49" s="595"/>
      <c r="F49" s="595"/>
      <c r="G49" s="595"/>
      <c r="H49" s="595"/>
      <c r="I49" s="595"/>
      <c r="J49" s="595"/>
      <c r="K49" s="595"/>
      <c r="L49" s="595"/>
      <c r="M49" s="595"/>
      <c r="N49" s="595"/>
      <c r="O49" s="595"/>
      <c r="P49" s="595"/>
      <c r="Q49" s="595"/>
      <c r="R49" s="595"/>
      <c r="S49" s="595"/>
      <c r="T49" s="595"/>
      <c r="U49" s="595"/>
      <c r="V49" s="595"/>
      <c r="Y49" s="14" t="b">
        <f>LEN(AA49) &gt; 0</f>
        <v>1</v>
      </c>
      <c r="Z49" s="14" t="b">
        <v>1</v>
      </c>
      <c r="AA49" s="96" t="str">
        <f>CONCATENATE( D49)</f>
        <v>Mladen Ristić</v>
      </c>
      <c r="AB49" s="94" t="str">
        <f>IF(Y49, IF( Z49, AA49, Kontrola_Neispravno), Kontrola_Obavezno)</f>
        <v>Mladen Ristić</v>
      </c>
    </row>
    <row r="50" spans="2:28" ht="15" customHeight="1" x14ac:dyDescent="0.3">
      <c r="B50" s="47"/>
      <c r="Y50" s="14"/>
      <c r="Z50" s="14"/>
      <c r="AA50" s="96"/>
      <c r="AB50" s="93"/>
    </row>
    <row r="51" spans="2:28" ht="15.75" customHeight="1" x14ac:dyDescent="0.3">
      <c r="B51" s="434" t="str" cm="1">
        <f t="array" ref="B51">Objasnjenja_Kontakt</f>
        <v>Contact:</v>
      </c>
      <c r="Y51" s="14"/>
      <c r="Z51" s="14"/>
      <c r="AA51" s="96"/>
      <c r="AB51" s="93"/>
    </row>
    <row r="52" spans="2:28" ht="15" customHeight="1" x14ac:dyDescent="0.3">
      <c r="B52" s="85" t="str">
        <f>Kontakt_Adresa</f>
        <v>Address:</v>
      </c>
      <c r="D52" s="594" t="s">
        <v>3080</v>
      </c>
      <c r="E52" s="595"/>
      <c r="F52" s="595"/>
      <c r="G52" s="595"/>
      <c r="H52" s="595"/>
      <c r="I52" s="595"/>
      <c r="J52" s="595"/>
      <c r="K52" s="595"/>
      <c r="L52" s="595"/>
      <c r="M52" s="595"/>
      <c r="N52" s="595"/>
      <c r="O52" s="595"/>
      <c r="P52" s="595"/>
      <c r="Q52" s="595"/>
      <c r="R52" s="595"/>
      <c r="S52" s="595"/>
      <c r="T52" s="595"/>
      <c r="U52" s="595"/>
      <c r="V52" s="595"/>
      <c r="Y52" s="14" t="b">
        <f>LEN(AA52) &gt; 0</f>
        <v>1</v>
      </c>
      <c r="Z52" s="14" t="b">
        <v>1</v>
      </c>
      <c r="AA52" s="96" t="str">
        <f>CONCATENATE( D52)</f>
        <v>Lugovi b.b., Kakmuž</v>
      </c>
      <c r="AB52" s="94" t="str">
        <f>IF(Y52, IF( Z52, AA52, Kontrola_Neispravno), Kontrola_Obavezno)</f>
        <v>Lugovi b.b., Kakmuž</v>
      </c>
    </row>
    <row r="53" spans="2:28" ht="4.5" customHeight="1" x14ac:dyDescent="0.3">
      <c r="B53" s="47"/>
      <c r="Y53" s="14"/>
      <c r="Z53" s="14"/>
      <c r="AA53" s="96"/>
      <c r="AB53" s="93"/>
    </row>
    <row r="54" spans="2:28" ht="15" customHeight="1" x14ac:dyDescent="0.3">
      <c r="B54" s="85" t="str">
        <f>Kontakt_web</f>
        <v>Web:</v>
      </c>
      <c r="D54" s="594"/>
      <c r="E54" s="595"/>
      <c r="F54" s="595"/>
      <c r="G54" s="595"/>
      <c r="H54" s="595"/>
      <c r="I54" s="595"/>
      <c r="J54" s="595"/>
      <c r="K54" s="595"/>
      <c r="L54" s="595"/>
      <c r="M54" s="595"/>
      <c r="N54" s="595"/>
      <c r="O54" s="595"/>
      <c r="P54" s="595"/>
      <c r="Q54" s="595"/>
      <c r="R54" s="595"/>
      <c r="S54" s="595"/>
      <c r="T54" s="595"/>
      <c r="U54" s="595"/>
      <c r="V54" s="595"/>
      <c r="Y54" s="14" t="b">
        <f>LEN(AA54) &gt;= 0</f>
        <v>1</v>
      </c>
      <c r="Z54" s="14" t="b">
        <v>1</v>
      </c>
      <c r="AA54" s="96" t="str">
        <f>CONCATENATE( D54)</f>
        <v/>
      </c>
      <c r="AB54" s="94" t="str">
        <f>IF(Y54, IF( Z54, AA54, Kontrola_Neispravno), Kontrola_Obavezno)</f>
        <v/>
      </c>
    </row>
    <row r="55" spans="2:28" ht="4.5" customHeight="1" x14ac:dyDescent="0.3">
      <c r="B55" s="85"/>
      <c r="D55"/>
      <c r="E55"/>
      <c r="F55"/>
      <c r="G55"/>
      <c r="H55"/>
      <c r="I55"/>
      <c r="J55"/>
      <c r="K55"/>
      <c r="L55"/>
      <c r="M55"/>
      <c r="N55"/>
      <c r="O55"/>
      <c r="P55"/>
      <c r="Q55"/>
      <c r="R55"/>
      <c r="S55"/>
      <c r="T55"/>
      <c r="U55"/>
      <c r="V55"/>
      <c r="Y55" s="14"/>
      <c r="Z55" s="14"/>
      <c r="AA55" s="96"/>
      <c r="AB55" s="93"/>
    </row>
    <row r="56" spans="2:28" ht="15" customHeight="1" x14ac:dyDescent="0.3">
      <c r="B56" s="85" t="str">
        <f>Kontakt_email</f>
        <v>Email:</v>
      </c>
      <c r="D56" s="594" t="s">
        <v>3081</v>
      </c>
      <c r="E56" s="595"/>
      <c r="F56" s="595"/>
      <c r="G56" s="595"/>
      <c r="H56" s="595"/>
      <c r="I56" s="595"/>
      <c r="J56" s="595"/>
      <c r="K56" s="595"/>
      <c r="L56" s="595"/>
      <c r="M56" s="595"/>
      <c r="N56" s="595"/>
      <c r="O56" s="595"/>
      <c r="P56" s="595"/>
      <c r="Q56" s="595"/>
      <c r="R56" s="595"/>
      <c r="S56" s="595"/>
      <c r="T56" s="595"/>
      <c r="U56" s="595"/>
      <c r="V56" s="595"/>
      <c r="Y56" s="14" t="b">
        <f>LEN(AA56) &gt; 0</f>
        <v>1</v>
      </c>
      <c r="Z56" s="14" t="b">
        <v>1</v>
      </c>
      <c r="AA56" s="96" t="str">
        <f>CONCATENATE(D56)</f>
        <v>info@soltgp.ba</v>
      </c>
      <c r="AB56" s="94" t="str">
        <f>IF(Y56, IF( Z56, AA56, Kontrola_Neispravno), Kontrola_Obavezno)</f>
        <v>info@soltgp.ba</v>
      </c>
    </row>
    <row r="57" spans="2:28" ht="4.5" customHeight="1" x14ac:dyDescent="0.3">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3">
      <c r="B58" s="85" t="str">
        <f>Kontakt_tel</f>
        <v>Phone:</v>
      </c>
      <c r="D58" s="83">
        <v>0</v>
      </c>
      <c r="E58" s="83">
        <v>5</v>
      </c>
      <c r="F58" s="83">
        <v>3</v>
      </c>
      <c r="G58" s="44" t="s">
        <v>399</v>
      </c>
      <c r="H58" s="83">
        <v>2</v>
      </c>
      <c r="I58" s="83">
        <v>5</v>
      </c>
      <c r="J58" s="83">
        <v>2</v>
      </c>
      <c r="K58" s="44" t="s">
        <v>399</v>
      </c>
      <c r="L58" s="83">
        <v>0</v>
      </c>
      <c r="M58" s="83">
        <v>4</v>
      </c>
      <c r="N58" s="83">
        <v>0</v>
      </c>
      <c r="O58" s="44"/>
      <c r="P58" s="44"/>
      <c r="Q58" s="44"/>
      <c r="R58" s="44"/>
      <c r="S58" s="44"/>
      <c r="T58" s="44"/>
      <c r="U58"/>
      <c r="V58"/>
      <c r="Y58" s="14" t="b">
        <f>LEN(AA58) = 11</f>
        <v>1</v>
      </c>
      <c r="Z58" s="14" t="b">
        <v>1</v>
      </c>
      <c r="AA58" s="96" t="str">
        <f>CONCATENATE( D58,E58, F58, G58, H58, I58, J58, K58, L58, M58, N58)</f>
        <v>053-252-040</v>
      </c>
      <c r="AB58" s="94" t="str">
        <f>IF(Y58, IF( Z58, AA58, Kontrola_Neispravno), Kontrola_Obavezno)</f>
        <v>053-252-040</v>
      </c>
    </row>
    <row r="59" spans="2:28" ht="4.5" customHeight="1" x14ac:dyDescent="0.3">
      <c r="B59" s="47"/>
      <c r="D59"/>
      <c r="E59"/>
      <c r="F59"/>
      <c r="G59"/>
      <c r="H59"/>
      <c r="I59"/>
      <c r="J59"/>
      <c r="K59"/>
      <c r="L59"/>
      <c r="M59"/>
      <c r="N59"/>
      <c r="O59"/>
      <c r="P59" s="44"/>
      <c r="Q59" s="44"/>
      <c r="R59" s="44"/>
      <c r="S59" s="44"/>
      <c r="T59" s="44"/>
      <c r="U59"/>
      <c r="Y59" s="14"/>
      <c r="Z59" s="14"/>
      <c r="AA59" s="96"/>
      <c r="AB59" s="93"/>
    </row>
    <row r="60" spans="2:28" ht="15" customHeight="1" x14ac:dyDescent="0.3">
      <c r="B60" s="85" t="str">
        <f>Kontakt_fax</f>
        <v>Fax:</v>
      </c>
      <c r="D60" s="83">
        <v>0</v>
      </c>
      <c r="E60" s="83">
        <v>5</v>
      </c>
      <c r="F60" s="83">
        <v>3</v>
      </c>
      <c r="G60" s="44" t="s">
        <v>399</v>
      </c>
      <c r="H60" s="83">
        <v>2</v>
      </c>
      <c r="I60" s="83">
        <v>5</v>
      </c>
      <c r="J60" s="83">
        <v>5</v>
      </c>
      <c r="K60" s="44" t="s">
        <v>399</v>
      </c>
      <c r="L60" s="83">
        <v>2</v>
      </c>
      <c r="M60" s="83">
        <v>8</v>
      </c>
      <c r="N60" s="83">
        <v>0</v>
      </c>
      <c r="O60" s="44"/>
      <c r="P60" s="44"/>
      <c r="Y60" s="14" t="b">
        <f>OR( LEN( AA60) = 2, LEN(AA60) = 11)</f>
        <v>1</v>
      </c>
      <c r="Z60" s="14" t="b">
        <v>1</v>
      </c>
      <c r="AA60" s="96" t="str">
        <f>CONCATENATE( D60,E60, F60, G60, H60, I60, J60, K60, L60, M60, N60)</f>
        <v>053-255-280</v>
      </c>
      <c r="AB60" s="94" t="str">
        <f>IF(Y60, IF( Z60, AA60, Kontrola_Neispravno), Kontrola_Obavezno)</f>
        <v>053-255-280</v>
      </c>
    </row>
    <row r="61" spans="2:28" ht="12.75" customHeight="1" x14ac:dyDescent="0.3">
      <c r="Y61" s="14"/>
      <c r="Z61" s="14"/>
      <c r="AA61" s="96"/>
    </row>
    <row r="62" spans="2:28" ht="15.75" customHeight="1" x14ac:dyDescent="0.3">
      <c r="B62" s="100" t="str">
        <f>Revizija_Revidiran_izvjestaj</f>
        <v>Audited Report</v>
      </c>
      <c r="D62" s="102"/>
      <c r="E62" s="103"/>
      <c r="Y62" s="99" t="b">
        <v>0</v>
      </c>
      <c r="Z62" s="14"/>
      <c r="AA62" s="96"/>
    </row>
    <row r="63" spans="2:28" ht="4.5" customHeight="1" x14ac:dyDescent="0.3">
      <c r="B63" s="104"/>
      <c r="D63"/>
      <c r="E63"/>
      <c r="Y63" s="208"/>
      <c r="Z63" s="14"/>
      <c r="AA63" s="96"/>
    </row>
    <row r="64" spans="2:28" ht="17.25" customHeight="1" x14ac:dyDescent="0.3">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3">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3">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3">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3">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3">
      <c r="A69" s="9"/>
      <c r="B69" s="589"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3">
      <c r="A70" s="9"/>
      <c r="B70" s="589"/>
      <c r="C70" s="9"/>
      <c r="D70" s="595"/>
      <c r="E70" s="595"/>
      <c r="F70" s="595"/>
      <c r="G70" s="595"/>
      <c r="H70" s="595"/>
      <c r="I70" s="595"/>
      <c r="J70" s="595"/>
      <c r="K70" s="595"/>
      <c r="L70" s="595"/>
      <c r="M70" s="595"/>
      <c r="N70" s="595"/>
      <c r="O70" s="595"/>
      <c r="P70" s="595"/>
      <c r="Q70" s="595"/>
      <c r="R70" s="595"/>
      <c r="S70" s="595"/>
      <c r="T70" s="595"/>
      <c r="U70" s="595"/>
      <c r="V70" s="595"/>
      <c r="Y70" s="14" t="b">
        <f>OR( NOT(Revidiran_izvjestaj), LEN(AA70) &gt; 0)</f>
        <v>1</v>
      </c>
      <c r="Z70" s="14" t="b">
        <v>1</v>
      </c>
      <c r="AA70" s="96" t="str">
        <f>CONCATENATE(D70)</f>
        <v/>
      </c>
      <c r="AB70" s="94" t="str">
        <f>IF(Y70, IF( Z70, AA70, Kontrola_Neispravno), Kontrola_Obavezno)</f>
        <v/>
      </c>
    </row>
    <row r="71" spans="1:28" ht="4.5" customHeight="1" x14ac:dyDescent="0.3">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3">
      <c r="A72" s="9"/>
      <c r="B72" s="85" t="str">
        <f>IF( Revidiran_izvjestaj, Zaglavlje_Sjediste, "")</f>
        <v/>
      </c>
      <c r="C72" s="9"/>
      <c r="D72" s="595"/>
      <c r="E72" s="595"/>
      <c r="F72" s="595"/>
      <c r="G72" s="595"/>
      <c r="H72" s="595"/>
      <c r="I72" s="595"/>
      <c r="J72" s="595"/>
      <c r="K72" s="595"/>
      <c r="L72" s="595"/>
      <c r="M72" s="595"/>
      <c r="N72" s="595"/>
      <c r="O72" s="595"/>
      <c r="P72" s="595"/>
      <c r="Q72" s="595"/>
      <c r="R72" s="595"/>
      <c r="S72" s="595"/>
      <c r="T72" s="595"/>
      <c r="U72" s="595"/>
      <c r="V72" s="595"/>
      <c r="Y72" s="14" t="b">
        <f>OR( NOT(Revidiran_izvjestaj), LEN(AA72) &gt; 0)</f>
        <v>1</v>
      </c>
      <c r="Z72" s="14" t="b">
        <v>1</v>
      </c>
      <c r="AA72" s="96" t="str">
        <f>CONCATENATE(D72)</f>
        <v/>
      </c>
      <c r="AB72" s="92" t="str">
        <f>IF(Y72, IF( Z72, AA72, Kontrola_Neispravno), Kontrola_Obavezno)</f>
        <v/>
      </c>
    </row>
    <row r="73" spans="1:28" ht="4.5" customHeight="1" x14ac:dyDescent="0.3">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3">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3">
      <c r="A75" s="9"/>
      <c r="B75"/>
      <c r="C75"/>
      <c r="D75"/>
      <c r="E75"/>
      <c r="F75"/>
      <c r="Y75" s="14"/>
      <c r="Z75" s="14"/>
    </row>
    <row r="76" spans="1:28" ht="15.75" customHeight="1" x14ac:dyDescent="0.3">
      <c r="A76" s="9"/>
      <c r="B76" s="100" t="str">
        <f>Konsolidovani_Konsolidavani_Izvjestaj</f>
        <v xml:space="preserve">Report Consolidated </v>
      </c>
      <c r="D76" s="102"/>
      <c r="E76" s="103"/>
      <c r="F76"/>
      <c r="Y76" s="99" t="b">
        <v>0</v>
      </c>
      <c r="Z76" s="182"/>
      <c r="AA76" s="182"/>
    </row>
    <row r="77" spans="1:28" ht="4.5" customHeight="1" x14ac:dyDescent="0.3">
      <c r="A77" s="9"/>
      <c r="B77" s="101"/>
    </row>
    <row r="78" spans="1:28" ht="15" customHeight="1" x14ac:dyDescent="0.3">
      <c r="A78" s="9"/>
      <c r="B78" s="118" t="str">
        <f>IF( Konsolidovan_izvjestaj, Konsolidovani_Konsolidovani &amp; " 1:", "")</f>
        <v/>
      </c>
    </row>
    <row r="79" spans="1:28" ht="15" customHeight="1" x14ac:dyDescent="0.3">
      <c r="A79" s="9"/>
      <c r="B79" s="85" t="str">
        <f>IF( Konsolidovan_izvjestaj, Zaglavlje_MB, "")</f>
        <v/>
      </c>
      <c r="D79" s="83"/>
      <c r="E79" s="83"/>
      <c r="F79" s="83"/>
      <c r="G79" s="83"/>
      <c r="H79" s="83"/>
      <c r="I79" s="83"/>
      <c r="J79" s="83"/>
      <c r="K79" s="83"/>
      <c r="Y79"/>
      <c r="Z79"/>
      <c r="AA79"/>
    </row>
    <row r="80" spans="1:28" customFormat="1" ht="4.5" customHeight="1" x14ac:dyDescent="0.3">
      <c r="A80" s="78"/>
      <c r="B80" s="78"/>
    </row>
    <row r="81" spans="1:27" ht="12.75" customHeight="1" x14ac:dyDescent="0.3">
      <c r="A81" s="9"/>
      <c r="B81" s="589" t="str">
        <f>IF( Konsolidovan_izvjestaj, Zaglavlje_Naziv_preduzeca, "")</f>
        <v/>
      </c>
      <c r="Y81"/>
      <c r="Z81"/>
      <c r="AA81"/>
    </row>
    <row r="82" spans="1:27" ht="21" customHeight="1" x14ac:dyDescent="0.3">
      <c r="A82" s="9"/>
      <c r="B82" s="589"/>
      <c r="D82" s="595"/>
      <c r="E82" s="595"/>
      <c r="F82" s="595"/>
      <c r="G82" s="595"/>
      <c r="H82" s="595"/>
      <c r="I82" s="595"/>
      <c r="J82" s="595"/>
      <c r="K82" s="595"/>
      <c r="L82" s="595"/>
      <c r="M82" s="595"/>
      <c r="N82" s="595"/>
      <c r="O82" s="595"/>
      <c r="P82" s="595"/>
      <c r="Q82" s="595"/>
      <c r="R82" s="595"/>
      <c r="S82" s="595"/>
      <c r="T82" s="595"/>
      <c r="U82" s="595"/>
      <c r="V82" s="595"/>
      <c r="Y82"/>
      <c r="Z82"/>
      <c r="AA82"/>
    </row>
    <row r="83" spans="1:27" ht="10.5" customHeight="1" x14ac:dyDescent="0.3">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3">
      <c r="A84" s="9"/>
      <c r="B84" s="85" t="str">
        <f>IF( Konsolidovan_izvjestaj, Zaglavlje_Sjediste, "")</f>
        <v/>
      </c>
      <c r="D84" s="595"/>
      <c r="E84" s="595"/>
      <c r="F84" s="595"/>
      <c r="G84" s="595"/>
      <c r="H84" s="595"/>
      <c r="I84" s="595"/>
      <c r="J84" s="595"/>
      <c r="K84" s="595"/>
      <c r="L84" s="595"/>
      <c r="M84" s="595"/>
      <c r="N84" s="595"/>
      <c r="O84" s="595"/>
      <c r="P84" s="595"/>
      <c r="Q84" s="595"/>
      <c r="R84" s="595"/>
      <c r="S84" s="595"/>
      <c r="T84" s="595"/>
      <c r="U84" s="595"/>
      <c r="V84" s="595"/>
      <c r="Y84"/>
      <c r="Z84"/>
      <c r="AA84"/>
    </row>
    <row r="85" spans="1:27" ht="4.5" customHeight="1" x14ac:dyDescent="0.3">
      <c r="A85" s="9"/>
      <c r="B85" s="85"/>
      <c r="Y85"/>
      <c r="Z85"/>
      <c r="AA85"/>
    </row>
    <row r="86" spans="1:27" ht="15" customHeight="1" x14ac:dyDescent="0.3">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3">
      <c r="A87" s="9"/>
      <c r="B87" s="101"/>
      <c r="Y87"/>
      <c r="Z87"/>
      <c r="AA87"/>
    </row>
    <row r="88" spans="1:27" ht="15" customHeight="1" x14ac:dyDescent="0.3">
      <c r="A88" s="9"/>
      <c r="B88" s="118" t="str">
        <f>IF( Konsolidovan_izvjestaj, Konsolidovani_Konsolidovani &amp; " 2:", "")</f>
        <v/>
      </c>
      <c r="Y88"/>
      <c r="Z88"/>
      <c r="AA88"/>
    </row>
    <row r="89" spans="1:27" ht="15" customHeight="1" x14ac:dyDescent="0.3">
      <c r="A89" s="9"/>
      <c r="B89" s="85" t="str">
        <f>IF( Konsolidovan_izvjestaj, Zaglavlje_MB, "")</f>
        <v/>
      </c>
      <c r="D89" s="83"/>
      <c r="E89" s="83"/>
      <c r="F89" s="83"/>
      <c r="G89" s="83"/>
      <c r="H89" s="83"/>
      <c r="I89" s="83"/>
      <c r="J89" s="83"/>
      <c r="K89" s="83"/>
      <c r="Y89"/>
      <c r="Z89"/>
      <c r="AA89"/>
    </row>
    <row r="90" spans="1:27" ht="4.5" customHeight="1" x14ac:dyDescent="0.3">
      <c r="A90" s="9"/>
      <c r="B90" s="78"/>
    </row>
    <row r="91" spans="1:27" ht="12.75" customHeight="1" x14ac:dyDescent="0.3">
      <c r="A91" s="9"/>
      <c r="B91" s="589" t="str">
        <f>IF( Konsolidovan_izvjestaj, Zaglavlje_Naziv_preduzeca, "")</f>
        <v/>
      </c>
    </row>
    <row r="92" spans="1:27" ht="21.75" customHeight="1" x14ac:dyDescent="0.3">
      <c r="A92" s="9"/>
      <c r="B92" s="589"/>
      <c r="D92" s="595"/>
      <c r="E92" s="595"/>
      <c r="F92" s="595"/>
      <c r="G92" s="595"/>
      <c r="H92" s="595"/>
      <c r="I92" s="595"/>
      <c r="J92" s="595"/>
      <c r="K92" s="595"/>
      <c r="L92" s="595"/>
      <c r="M92" s="595"/>
      <c r="N92" s="595"/>
      <c r="O92" s="595"/>
      <c r="P92" s="595"/>
      <c r="Q92" s="595"/>
      <c r="R92" s="595"/>
      <c r="S92" s="595"/>
      <c r="T92" s="595"/>
      <c r="U92" s="595"/>
      <c r="V92" s="595"/>
    </row>
    <row r="93" spans="1:27" ht="10.5" customHeight="1" x14ac:dyDescent="0.3">
      <c r="A93" s="9"/>
      <c r="B93" s="85"/>
      <c r="D93" s="2"/>
      <c r="E93" s="2"/>
      <c r="F93" s="2"/>
      <c r="G93" s="2"/>
      <c r="H93" s="2"/>
      <c r="I93" s="2"/>
      <c r="J93" s="2"/>
      <c r="K93" s="2"/>
      <c r="L93" s="2"/>
      <c r="M93" s="2"/>
      <c r="N93" s="2"/>
      <c r="O93" s="2"/>
      <c r="P93" s="2"/>
      <c r="Q93" s="2"/>
      <c r="R93" s="2"/>
      <c r="S93" s="2"/>
      <c r="T93" s="2"/>
      <c r="U93" s="2"/>
      <c r="V93" s="2"/>
    </row>
    <row r="94" spans="1:27" ht="15" customHeight="1" x14ac:dyDescent="0.3">
      <c r="A94" s="9"/>
      <c r="B94" s="85" t="str">
        <f>IF( Konsolidovan_izvjestaj, Zaglavlje_Sjediste, "")</f>
        <v/>
      </c>
      <c r="D94" s="595"/>
      <c r="E94" s="595"/>
      <c r="F94" s="595"/>
      <c r="G94" s="595"/>
      <c r="H94" s="595"/>
      <c r="I94" s="595"/>
      <c r="J94" s="595"/>
      <c r="K94" s="595"/>
      <c r="L94" s="595"/>
      <c r="M94" s="595"/>
      <c r="N94" s="595"/>
      <c r="O94" s="595"/>
      <c r="P94" s="595"/>
      <c r="Q94" s="595"/>
      <c r="R94" s="595"/>
      <c r="S94" s="595"/>
      <c r="T94" s="595"/>
      <c r="U94" s="595"/>
      <c r="V94" s="595"/>
    </row>
    <row r="95" spans="1:27" ht="4.5" customHeight="1" x14ac:dyDescent="0.3">
      <c r="A95" s="9"/>
      <c r="B95" s="85"/>
    </row>
    <row r="96" spans="1:27" ht="15" customHeight="1" x14ac:dyDescent="0.3">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3">
      <c r="A97" s="9"/>
      <c r="B97" s="101"/>
    </row>
    <row r="98" spans="1:32" ht="15" customHeight="1" x14ac:dyDescent="0.3">
      <c r="A98" s="9"/>
      <c r="B98" s="118" t="str">
        <f>IF( Konsolidovan_izvjestaj, Konsolidovani_Konsolidovani &amp; " 3:", "")</f>
        <v/>
      </c>
    </row>
    <row r="99" spans="1:32" ht="15" customHeight="1" x14ac:dyDescent="0.3">
      <c r="A99" s="9"/>
      <c r="B99" s="85" t="str">
        <f>IF( Konsolidovan_izvjestaj, Zaglavlje_MB, "")</f>
        <v/>
      </c>
      <c r="D99" s="83"/>
      <c r="E99" s="83"/>
      <c r="F99" s="83"/>
      <c r="G99" s="83"/>
      <c r="H99" s="83"/>
      <c r="I99" s="83"/>
      <c r="J99" s="83"/>
      <c r="K99" s="83"/>
    </row>
    <row r="100" spans="1:32" customFormat="1" ht="15" customHeight="1" x14ac:dyDescent="0.3">
      <c r="A100" s="78"/>
      <c r="B100" s="78"/>
      <c r="AE100" s="8"/>
      <c r="AF100" s="8"/>
    </row>
    <row r="101" spans="1:32" ht="12.75" customHeight="1" x14ac:dyDescent="0.3">
      <c r="A101" s="9"/>
      <c r="B101" s="589" t="str">
        <f>IF( Konsolidovan_izvjestaj, Zaglavlje_Naziv_preduzeca, "")</f>
        <v/>
      </c>
    </row>
    <row r="102" spans="1:32" ht="20.25" customHeight="1" x14ac:dyDescent="0.3">
      <c r="A102" s="9"/>
      <c r="B102" s="589"/>
      <c r="D102" s="595"/>
      <c r="E102" s="595"/>
      <c r="F102" s="595"/>
      <c r="G102" s="595"/>
      <c r="H102" s="595"/>
      <c r="I102" s="595"/>
      <c r="J102" s="595"/>
      <c r="K102" s="595"/>
      <c r="L102" s="595"/>
      <c r="M102" s="595"/>
      <c r="N102" s="595"/>
      <c r="O102" s="595"/>
      <c r="P102" s="595"/>
      <c r="Q102" s="595"/>
      <c r="R102" s="595"/>
      <c r="S102" s="595"/>
      <c r="T102" s="595"/>
      <c r="U102" s="595"/>
      <c r="V102" s="595"/>
    </row>
    <row r="103" spans="1:32" ht="15" customHeight="1" x14ac:dyDescent="0.3">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3">
      <c r="A104" s="9"/>
      <c r="B104" s="85" t="str">
        <f>IF( Konsolidovan_izvjestaj, Zaglavlje_Sjediste, "")</f>
        <v/>
      </c>
      <c r="D104" s="595"/>
      <c r="E104" s="595"/>
      <c r="F104" s="595"/>
      <c r="G104" s="595"/>
      <c r="H104" s="595"/>
      <c r="I104" s="595"/>
      <c r="J104" s="595"/>
      <c r="K104" s="595"/>
      <c r="L104" s="595"/>
      <c r="M104" s="595"/>
      <c r="N104" s="595"/>
      <c r="O104" s="595"/>
      <c r="P104" s="595"/>
      <c r="Q104" s="595"/>
      <c r="R104" s="595"/>
      <c r="S104" s="595"/>
      <c r="T104" s="595"/>
      <c r="U104" s="595"/>
      <c r="V104" s="595"/>
    </row>
    <row r="105" spans="1:32" ht="4.5" customHeight="1" x14ac:dyDescent="0.3">
      <c r="A105" s="9"/>
      <c r="B105" s="85"/>
    </row>
    <row r="106" spans="1:32" ht="15" customHeight="1" x14ac:dyDescent="0.3">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3"/>
    <row r="108" spans="1:32" ht="15" customHeight="1" x14ac:dyDescent="0.3">
      <c r="B108" s="118" t="str">
        <f>IF( Konsolidovan_izvjestaj, Konsolidovani_Konsolidovani &amp; " 4:", "")</f>
        <v/>
      </c>
    </row>
    <row r="109" spans="1:32" ht="15" customHeight="1" x14ac:dyDescent="0.3">
      <c r="B109" s="85" t="str">
        <f>IF( Konsolidovan_izvjestaj, Zaglavlje_MB, "")</f>
        <v/>
      </c>
      <c r="D109" s="83"/>
      <c r="E109" s="83"/>
      <c r="F109" s="83"/>
      <c r="G109" s="83"/>
      <c r="H109" s="83"/>
      <c r="I109" s="83"/>
      <c r="J109" s="83"/>
      <c r="K109" s="83"/>
    </row>
    <row r="110" spans="1:32" ht="12.75" customHeight="1" x14ac:dyDescent="0.3">
      <c r="B110" s="78"/>
      <c r="C110"/>
      <c r="D110"/>
      <c r="E110"/>
      <c r="F110"/>
      <c r="G110"/>
      <c r="H110"/>
      <c r="I110"/>
      <c r="J110"/>
      <c r="K110"/>
      <c r="L110"/>
      <c r="M110"/>
      <c r="N110"/>
      <c r="O110"/>
      <c r="P110"/>
      <c r="Q110"/>
      <c r="R110"/>
      <c r="S110"/>
      <c r="T110"/>
      <c r="U110"/>
      <c r="V110"/>
    </row>
    <row r="111" spans="1:32" ht="20.25" customHeight="1" x14ac:dyDescent="0.3">
      <c r="B111" s="589" t="str">
        <f>IF( Konsolidovan_izvjestaj, Zaglavlje_Naziv_preduzeca, "")</f>
        <v/>
      </c>
    </row>
    <row r="112" spans="1:32" ht="22.5" customHeight="1" x14ac:dyDescent="0.3">
      <c r="B112" s="589"/>
      <c r="D112" s="595"/>
      <c r="E112" s="595"/>
      <c r="F112" s="595"/>
      <c r="G112" s="595"/>
      <c r="H112" s="595"/>
      <c r="I112" s="595"/>
      <c r="J112" s="595"/>
      <c r="K112" s="595"/>
      <c r="L112" s="595"/>
      <c r="M112" s="595"/>
      <c r="N112" s="595"/>
      <c r="O112" s="595"/>
      <c r="P112" s="595"/>
      <c r="Q112" s="595"/>
      <c r="R112" s="595"/>
      <c r="S112" s="595"/>
      <c r="T112" s="595"/>
      <c r="U112" s="595"/>
      <c r="V112" s="595"/>
    </row>
    <row r="113" spans="2:32" ht="12.75" customHeight="1" x14ac:dyDescent="0.3">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3">
      <c r="B114" s="85" t="str">
        <f>IF( Konsolidovan_izvjestaj, Zaglavlje_Sjediste, "")</f>
        <v/>
      </c>
      <c r="D114" s="595"/>
      <c r="E114" s="595"/>
      <c r="F114" s="595"/>
      <c r="G114" s="595"/>
      <c r="H114" s="595"/>
      <c r="I114" s="595"/>
      <c r="J114" s="595"/>
      <c r="K114" s="595"/>
      <c r="L114" s="595"/>
      <c r="M114" s="595"/>
      <c r="N114" s="595"/>
      <c r="O114" s="595"/>
      <c r="P114" s="595"/>
      <c r="Q114" s="595"/>
      <c r="R114" s="595"/>
      <c r="S114" s="595"/>
      <c r="T114" s="595"/>
      <c r="U114" s="595"/>
      <c r="V114" s="595"/>
    </row>
    <row r="115" spans="2:32" ht="12.75" customHeight="1" x14ac:dyDescent="0.3">
      <c r="B115" s="85"/>
    </row>
    <row r="116" spans="2:32" ht="15" customHeight="1" x14ac:dyDescent="0.3">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3"/>
    <row r="118" spans="2:32" ht="15" customHeight="1" x14ac:dyDescent="0.3">
      <c r="B118" s="118" t="str">
        <f>IF( Konsolidovan_izvjestaj, Konsolidovani_Konsolidovani &amp; " 5:", "")</f>
        <v/>
      </c>
    </row>
    <row r="119" spans="2:32" ht="15" customHeight="1" x14ac:dyDescent="0.3">
      <c r="B119" s="85" t="str">
        <f>IF( Konsolidovan_izvjestaj, Zaglavlje_MB, "")</f>
        <v/>
      </c>
      <c r="D119" s="83"/>
      <c r="E119" s="83"/>
      <c r="F119" s="83"/>
      <c r="G119" s="83"/>
      <c r="H119" s="83"/>
      <c r="I119" s="83"/>
      <c r="J119" s="83"/>
      <c r="K119" s="83"/>
    </row>
    <row r="120" spans="2:32" ht="12.75" customHeight="1" x14ac:dyDescent="0.3">
      <c r="B120" s="78"/>
      <c r="C120"/>
      <c r="D120"/>
      <c r="E120"/>
      <c r="F120"/>
      <c r="G120"/>
      <c r="H120"/>
      <c r="I120"/>
      <c r="J120"/>
      <c r="K120"/>
      <c r="L120"/>
      <c r="M120"/>
      <c r="N120"/>
      <c r="O120"/>
      <c r="P120"/>
      <c r="Q120"/>
      <c r="R120"/>
      <c r="S120"/>
      <c r="T120"/>
      <c r="U120"/>
      <c r="V120"/>
    </row>
    <row r="121" spans="2:32" ht="18" customHeight="1" x14ac:dyDescent="0.3">
      <c r="B121" s="589" t="str">
        <f>IF( Konsolidovan_izvjestaj, Zaglavlje_Naziv_preduzeca, "")</f>
        <v/>
      </c>
    </row>
    <row r="122" spans="2:32" ht="8.25" customHeight="1" x14ac:dyDescent="0.3">
      <c r="B122" s="589"/>
      <c r="D122" s="595"/>
      <c r="E122" s="595"/>
      <c r="F122" s="595"/>
      <c r="G122" s="595"/>
      <c r="H122" s="595"/>
      <c r="I122" s="595"/>
      <c r="J122" s="595"/>
      <c r="K122" s="595"/>
      <c r="L122" s="595"/>
      <c r="M122" s="595"/>
      <c r="N122" s="595"/>
      <c r="O122" s="595"/>
      <c r="P122" s="595"/>
      <c r="Q122" s="595"/>
      <c r="R122" s="595"/>
      <c r="S122" s="595"/>
      <c r="T122" s="595"/>
      <c r="U122" s="595"/>
      <c r="V122" s="595"/>
    </row>
    <row r="123" spans="2:32" ht="12.75" customHeight="1" x14ac:dyDescent="0.3">
      <c r="B123" s="85"/>
      <c r="D123" s="2"/>
      <c r="E123" s="2"/>
      <c r="F123" s="2"/>
      <c r="G123" s="2"/>
      <c r="H123" s="2"/>
      <c r="I123" s="2"/>
      <c r="J123" s="2"/>
      <c r="K123" s="2"/>
      <c r="L123" s="2"/>
      <c r="M123" s="2"/>
      <c r="N123" s="2"/>
      <c r="O123" s="2"/>
      <c r="P123" s="2"/>
      <c r="Q123" s="2"/>
      <c r="R123" s="2"/>
      <c r="S123" s="2"/>
      <c r="T123" s="2"/>
      <c r="U123" s="2"/>
      <c r="V123" s="2"/>
    </row>
    <row r="124" spans="2:32" ht="15" customHeight="1" x14ac:dyDescent="0.3">
      <c r="B124" s="85" t="str">
        <f>IF( Konsolidovan_izvjestaj, Zaglavlje_Sjediste, "")</f>
        <v/>
      </c>
      <c r="D124" s="595"/>
      <c r="E124" s="595"/>
      <c r="F124" s="595"/>
      <c r="G124" s="595"/>
      <c r="H124" s="595"/>
      <c r="I124" s="595"/>
      <c r="J124" s="595"/>
      <c r="K124" s="595"/>
      <c r="L124" s="595"/>
      <c r="M124" s="595"/>
      <c r="N124" s="595"/>
      <c r="O124" s="595"/>
      <c r="P124" s="595"/>
      <c r="Q124" s="595"/>
      <c r="R124" s="595"/>
      <c r="S124" s="595"/>
      <c r="T124" s="595"/>
      <c r="U124" s="595"/>
      <c r="V124" s="595"/>
    </row>
    <row r="125" spans="2:32" ht="12.75" customHeight="1" x14ac:dyDescent="0.3">
      <c r="B125" s="85"/>
    </row>
    <row r="126" spans="2:32" ht="15" customHeight="1" x14ac:dyDescent="0.3">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54jf8qvNMe3xewRuCSZKd2/Ra+rvKt3NEhRqtHvHfbBMb/rg8JeKbyKV04Z39UXizMDZOyAIb6DaHkNUHv/XFA==" saltValue="uNQeH7PzhlCnVnkuoOdIUQ=="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3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31" priority="50" stopIfTrue="1">
      <formula>$AC$3 &gt; 0</formula>
    </cfRule>
  </conditionalFormatting>
  <conditionalFormatting sqref="G17:I17">
    <cfRule type="expression" dxfId="230" priority="48" stopIfTrue="1">
      <formula>$AC$3 &gt; 0</formula>
    </cfRule>
  </conditionalFormatting>
  <conditionalFormatting sqref="U27:V27">
    <cfRule type="expression" dxfId="229" priority="47" stopIfTrue="1">
      <formula>$AC$3 &gt; 0</formula>
    </cfRule>
  </conditionalFormatting>
  <conditionalFormatting sqref="U29:V29">
    <cfRule type="expression" dxfId="228" priority="46" stopIfTrue="1">
      <formula>$AC$3 &gt; 0</formula>
    </cfRule>
  </conditionalFormatting>
  <conditionalFormatting sqref="U31:V31">
    <cfRule type="expression" dxfId="227" priority="45" stopIfTrue="1">
      <formula>$AC$3 &gt; 0</formula>
    </cfRule>
  </conditionalFormatting>
  <conditionalFormatting sqref="U33:V33">
    <cfRule type="expression" dxfId="226" priority="44" stopIfTrue="1">
      <formula>$AC$3 &gt; 0</formula>
    </cfRule>
  </conditionalFormatting>
  <conditionalFormatting sqref="U35:V35">
    <cfRule type="expression" dxfId="225" priority="43" stopIfTrue="1">
      <formula>$AC$3 &gt; 0</formula>
    </cfRule>
  </conditionalFormatting>
  <conditionalFormatting sqref="U37:V37">
    <cfRule type="expression" dxfId="22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68580</xdr:colOff>
                    <xdr:row>3</xdr:row>
                    <xdr:rowOff>152400</xdr:rowOff>
                  </from>
                  <to>
                    <xdr:col>9</xdr:col>
                    <xdr:colOff>137160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175260</xdr:colOff>
                    <xdr:row>75</xdr:row>
                    <xdr:rowOff>0</xdr:rowOff>
                  </from>
                  <to>
                    <xdr:col>4</xdr:col>
                    <xdr:colOff>175260</xdr:colOff>
                    <xdr:row>76</xdr:row>
                    <xdr:rowOff>45720</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175260</xdr:colOff>
                    <xdr:row>61</xdr:row>
                    <xdr:rowOff>0</xdr:rowOff>
                  </from>
                  <to>
                    <xdr:col>4</xdr:col>
                    <xdr:colOff>175260</xdr:colOff>
                    <xdr:row>62</xdr:row>
                    <xdr:rowOff>45720</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45720</xdr:rowOff>
                  </from>
                  <to>
                    <xdr:col>11</xdr:col>
                    <xdr:colOff>106680</xdr:colOff>
                    <xdr:row>64</xdr:row>
                    <xdr:rowOff>22860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365760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N81" sqref="N81"/>
    </sheetView>
  </sheetViews>
  <sheetFormatPr defaultColWidth="0" defaultRowHeight="13.8" zeroHeight="1" x14ac:dyDescent="0.3"/>
  <cols>
    <col min="1" max="1" width="5.33203125" style="8" customWidth="1"/>
    <col min="2" max="2" width="7.88671875" style="15" hidden="1" customWidth="1"/>
    <col min="3" max="3" width="18.88671875" style="28" customWidth="1"/>
    <col min="4" max="8" width="17.33203125" style="14" customWidth="1"/>
    <col min="9" max="9" width="7.44140625" style="14" customWidth="1"/>
    <col min="10" max="10" width="8.88671875" style="29" customWidth="1"/>
    <col min="11" max="12" width="12.33203125" style="8" customWidth="1"/>
    <col min="13" max="14" width="12.6640625" style="8" customWidth="1"/>
    <col min="15" max="15" width="5.6640625" style="8" customWidth="1"/>
    <col min="16" max="16" width="11.44140625" style="8" hidden="1" customWidth="1"/>
    <col min="17" max="256" width="0" style="8" hidden="1" customWidth="1"/>
    <col min="257" max="16384" width="4.6640625" style="8" hidden="1"/>
  </cols>
  <sheetData>
    <row r="1" spans="1:14" x14ac:dyDescent="0.3">
      <c r="B1" s="8"/>
      <c r="C1" s="135"/>
      <c r="D1" s="136"/>
      <c r="E1" s="136"/>
      <c r="F1" s="136"/>
      <c r="G1" s="136"/>
      <c r="H1" s="136"/>
      <c r="I1" s="136"/>
      <c r="J1" s="137"/>
      <c r="K1" s="18"/>
      <c r="L1" s="18"/>
      <c r="M1" s="18"/>
      <c r="N1" s="18"/>
    </row>
    <row r="2" spans="1:14" x14ac:dyDescent="0.3">
      <c r="B2" s="8"/>
      <c r="C2" s="135"/>
      <c r="D2" s="136"/>
      <c r="E2" s="136"/>
      <c r="F2" s="136"/>
      <c r="G2" s="136"/>
      <c r="H2" s="136"/>
      <c r="I2" s="136"/>
      <c r="J2" s="137"/>
      <c r="K2" s="18"/>
      <c r="L2" s="18"/>
      <c r="M2" s="18"/>
      <c r="N2" s="18"/>
    </row>
    <row r="3" spans="1:14" x14ac:dyDescent="0.3">
      <c r="B3" s="8"/>
      <c r="C3" s="135"/>
      <c r="D3" s="136"/>
      <c r="E3" s="136"/>
      <c r="F3" s="136"/>
      <c r="G3" s="136"/>
      <c r="H3" s="136"/>
      <c r="I3" s="136"/>
      <c r="J3" s="137"/>
      <c r="K3" s="18"/>
      <c r="L3" s="18"/>
      <c r="M3" s="18"/>
      <c r="N3" s="18"/>
    </row>
    <row r="4" spans="1:14" x14ac:dyDescent="0.3">
      <c r="B4" s="8"/>
      <c r="C4" s="135"/>
      <c r="D4" s="136"/>
      <c r="E4" s="136"/>
      <c r="F4" s="136"/>
      <c r="G4" s="136"/>
      <c r="H4" s="136"/>
      <c r="I4" s="136"/>
      <c r="J4" s="137"/>
      <c r="K4" s="18"/>
      <c r="L4" s="18"/>
      <c r="M4" s="18"/>
      <c r="N4" s="18"/>
    </row>
    <row r="5" spans="1:14" ht="12.75" customHeight="1" x14ac:dyDescent="0.3">
      <c r="A5" s="13"/>
      <c r="B5" s="13"/>
      <c r="C5" s="644" t="str">
        <f>Zaglavlje_Naziv_preduzeca</f>
        <v>Company Name:</v>
      </c>
      <c r="D5" s="644"/>
      <c r="E5" s="644"/>
      <c r="F5" s="126"/>
      <c r="G5" s="126"/>
      <c r="H5" s="126"/>
      <c r="I5" s="126"/>
      <c r="K5" s="126"/>
      <c r="N5" s="392" t="str">
        <f>Podatak_MB</f>
        <v>01755633</v>
      </c>
    </row>
    <row r="6" spans="1:14" x14ac:dyDescent="0.3">
      <c r="A6" s="13"/>
      <c r="B6" s="13"/>
      <c r="C6" s="644"/>
      <c r="D6" s="644"/>
      <c r="E6" s="644"/>
      <c r="F6" s="128"/>
      <c r="G6" s="126"/>
      <c r="J6" s="126"/>
      <c r="K6" s="126"/>
      <c r="L6" s="126"/>
      <c r="N6" s="421" t="str">
        <f>Zaglavlje_MB</f>
        <v>ID Number</v>
      </c>
    </row>
    <row r="7" spans="1:14" x14ac:dyDescent="0.3">
      <c r="A7" s="16"/>
      <c r="B7" s="16"/>
      <c r="C7" s="656" t="str">
        <f>Podatak_Naziv_preduzeca</f>
        <v>TEHNOGAS-KAKMUŽ AD PETROVO</v>
      </c>
      <c r="D7" s="656"/>
      <c r="E7" s="656"/>
      <c r="F7" s="244"/>
      <c r="J7" s="126"/>
      <c r="K7" s="126"/>
      <c r="L7" s="126"/>
      <c r="N7" s="392" t="str">
        <f>Podatak_Sifra_djelatnosti</f>
        <v>20.11</v>
      </c>
    </row>
    <row r="8" spans="1:14" x14ac:dyDescent="0.3">
      <c r="A8" s="16"/>
      <c r="B8" s="16"/>
      <c r="C8" s="125" t="str">
        <f>Zaglavlje_Sjediste</f>
        <v>Registered Office:</v>
      </c>
      <c r="D8" s="668" t="str">
        <f>Podatak_Sjediste</f>
        <v>PETROVO</v>
      </c>
      <c r="E8" s="668"/>
      <c r="F8" s="129"/>
      <c r="G8" s="126"/>
      <c r="J8" s="126"/>
      <c r="K8" s="126"/>
      <c r="L8" s="126"/>
      <c r="N8" s="243" t="str">
        <f>Zaglavlje_Sifra_djelatnosti</f>
        <v>Code of Industry</v>
      </c>
    </row>
    <row r="9" spans="1:14" ht="12.75" customHeight="1" x14ac:dyDescent="0.3">
      <c r="A9" s="13"/>
      <c r="B9" s="13"/>
      <c r="C9" s="655" t="str">
        <f>Zaglavlje_Ziro_racun</f>
        <v>Bank Account Numbers:</v>
      </c>
      <c r="D9" s="655"/>
      <c r="E9" s="655"/>
      <c r="J9" s="126"/>
      <c r="K9" s="126"/>
      <c r="L9" s="658" t="str">
        <f>Podatak_JIB</f>
        <v>4400228130004</v>
      </c>
      <c r="M9" s="658"/>
      <c r="N9" s="658"/>
    </row>
    <row r="10" spans="1:14" x14ac:dyDescent="0.3">
      <c r="A10" s="13"/>
      <c r="B10" s="13"/>
      <c r="C10" s="657" t="str">
        <f>Podatak_Ziro_racun_1</f>
        <v>562-005-00000031-60</v>
      </c>
      <c r="D10" s="657"/>
      <c r="E10" s="657"/>
      <c r="F10" s="125"/>
      <c r="G10" s="651" t="s">
        <v>786</v>
      </c>
      <c r="H10" s="651"/>
      <c r="J10" s="126"/>
      <c r="K10" s="126"/>
      <c r="L10" s="126"/>
      <c r="N10" s="243" t="str">
        <f>Zaglavlje_JIB</f>
        <v>Tax Number</v>
      </c>
    </row>
    <row r="11" spans="1:14" x14ac:dyDescent="0.3">
      <c r="B11" s="8"/>
      <c r="C11" s="657" t="str">
        <f>Podatak_Ziro_racun_2</f>
        <v>551-004-00009751-20</v>
      </c>
      <c r="D11" s="657"/>
      <c r="E11" s="657"/>
      <c r="F11" s="130"/>
      <c r="G11" s="130"/>
      <c r="H11" s="130"/>
      <c r="I11" s="130"/>
      <c r="J11" s="131"/>
      <c r="K11" s="131"/>
      <c r="L11" s="130"/>
      <c r="M11" s="132"/>
      <c r="N11" s="132"/>
    </row>
    <row r="12" spans="1:14" x14ac:dyDescent="0.3">
      <c r="B12" s="8"/>
      <c r="C12" s="657" t="str">
        <f>Podatak_Ziro_racun_3</f>
        <v/>
      </c>
      <c r="D12" s="657"/>
      <c r="E12" s="657"/>
      <c r="F12" s="130"/>
      <c r="G12" s="130"/>
      <c r="H12" s="130"/>
      <c r="I12" s="130"/>
      <c r="J12" s="131"/>
      <c r="K12" s="131"/>
      <c r="L12" s="130"/>
      <c r="M12" s="132"/>
      <c r="N12" s="132"/>
    </row>
    <row r="13" spans="1:14" x14ac:dyDescent="0.3">
      <c r="B13" s="8"/>
      <c r="C13" s="657" t="str">
        <f>Podatak_Ziro_racun_4</f>
        <v/>
      </c>
      <c r="D13" s="657"/>
      <c r="E13" s="657"/>
      <c r="F13" s="130"/>
      <c r="G13" s="130"/>
      <c r="H13" s="130"/>
      <c r="I13" s="130"/>
      <c r="J13" s="131"/>
      <c r="K13" s="131"/>
      <c r="L13" s="130"/>
      <c r="M13" s="132"/>
      <c r="N13" s="132"/>
    </row>
    <row r="14" spans="1:14" ht="15.6" x14ac:dyDescent="0.3">
      <c r="B14" s="8"/>
      <c r="C14" s="669" t="str">
        <f>IF( Id_Konsolidovani, Nazivi_bilansa_Konsolidovani_naziv &amp; LOWER( Nazivi_bilansa_BS), Nazivi_bilansa_BS)</f>
        <v>Balance Sheet</v>
      </c>
      <c r="D14" s="669"/>
      <c r="E14" s="669"/>
      <c r="F14" s="669"/>
      <c r="G14" s="669"/>
      <c r="H14" s="669"/>
      <c r="I14" s="669"/>
      <c r="J14" s="669"/>
      <c r="K14" s="669"/>
      <c r="L14" s="669"/>
      <c r="M14" s="669"/>
      <c r="N14" s="669"/>
    </row>
    <row r="15" spans="1:14" x14ac:dyDescent="0.3">
      <c r="B15" s="8"/>
      <c r="C15" s="654" t="str">
        <f>Nazivi_bilansa_BS1</f>
        <v>(Statement of Financial Position)</v>
      </c>
      <c r="D15" s="654"/>
      <c r="E15" s="654"/>
      <c r="F15" s="654"/>
      <c r="G15" s="654"/>
      <c r="H15" s="654"/>
      <c r="I15" s="654"/>
      <c r="J15" s="654"/>
      <c r="K15" s="654"/>
      <c r="L15" s="654"/>
      <c r="M15" s="654"/>
      <c r="N15" s="654"/>
    </row>
    <row r="16" spans="1:14" x14ac:dyDescent="0.3">
      <c r="B16" s="8"/>
      <c r="C16" s="654" t="str">
        <f>Datumi_Datum_BS</f>
        <v>date 31.12.2022.</v>
      </c>
      <c r="D16" s="654"/>
      <c r="E16" s="654"/>
      <c r="F16" s="654"/>
      <c r="G16" s="654"/>
      <c r="H16" s="654"/>
      <c r="I16" s="654"/>
      <c r="J16" s="654"/>
      <c r="K16" s="654"/>
      <c r="L16" s="654"/>
      <c r="M16" s="654"/>
      <c r="N16" s="654"/>
    </row>
    <row r="17" spans="2:16" x14ac:dyDescent="0.3">
      <c r="B17" s="8"/>
      <c r="C17" s="20"/>
      <c r="D17" s="20"/>
      <c r="E17" s="20"/>
      <c r="F17" s="20"/>
      <c r="G17" s="20"/>
      <c r="H17" s="20"/>
      <c r="I17" s="20"/>
      <c r="J17" s="20"/>
      <c r="K17" s="20"/>
      <c r="L17" s="20"/>
      <c r="M17" s="20"/>
      <c r="N17" s="21" t="str">
        <f>Tabele_zaglavlje_Valuta</f>
        <v>- in BAM -</v>
      </c>
    </row>
    <row r="18" spans="2:16" ht="12.75" customHeight="1" x14ac:dyDescent="0.3">
      <c r="B18" s="8"/>
      <c r="C18" s="613" t="str">
        <f>Tabele_zaglavlje_Grupa_racuna</f>
        <v>Group and part of group of accounts</v>
      </c>
      <c r="D18" s="645" t="str">
        <f>Tabele_zaglavlje_Pozicija</f>
        <v>ITEM</v>
      </c>
      <c r="E18" s="646"/>
      <c r="F18" s="646"/>
      <c r="G18" s="646"/>
      <c r="H18" s="647"/>
      <c r="I18" s="643" t="str">
        <f>Tabele_zaglavlje_Oznaka_aop</f>
        <v>AOP</v>
      </c>
      <c r="J18" s="615" t="str" cm="1">
        <f t="array" ref="J18">Tabele_zaglavlje_Napomena_aop</f>
        <v>Note</v>
      </c>
      <c r="K18" s="653" t="str">
        <f>Tabele_zaglavlje_BS_iznos_tekuca</f>
        <v>Current Year Amounts</v>
      </c>
      <c r="L18" s="653"/>
      <c r="M18" s="653"/>
      <c r="N18" s="652" t="str">
        <f>Tabele_zaglavlje_BS_iznos_prethodna</f>
        <v>Previous Year (Opening Balance)</v>
      </c>
    </row>
    <row r="19" spans="2:16" ht="38.25" customHeight="1" x14ac:dyDescent="0.3">
      <c r="B19" s="8"/>
      <c r="C19" s="614"/>
      <c r="D19" s="648"/>
      <c r="E19" s="649"/>
      <c r="F19" s="649"/>
      <c r="G19" s="649"/>
      <c r="H19" s="650"/>
      <c r="I19" s="642"/>
      <c r="J19" s="616"/>
      <c r="K19" s="22" t="str">
        <f>Tabele_zaglavlje_BS_bruto</f>
        <v>Gross</v>
      </c>
      <c r="L19" s="23" t="str">
        <f>Tabele_zaglavlje_BS_ispravka</f>
        <v>Allowance</v>
      </c>
      <c r="M19" s="23" t="str">
        <f>Tabele_zaglavlje_BS_neto</f>
        <v>Net (5-6)</v>
      </c>
      <c r="N19" s="630"/>
      <c r="P19" s="134" t="s">
        <v>490</v>
      </c>
    </row>
    <row r="20" spans="2:16" x14ac:dyDescent="0.3">
      <c r="B20" s="15" t="s">
        <v>123</v>
      </c>
      <c r="C20" s="24">
        <v>1</v>
      </c>
      <c r="D20" s="617">
        <v>2</v>
      </c>
      <c r="E20" s="618"/>
      <c r="F20" s="618"/>
      <c r="G20" s="618"/>
      <c r="H20" s="619"/>
      <c r="I20" s="25">
        <v>3</v>
      </c>
      <c r="J20" s="25">
        <v>4</v>
      </c>
      <c r="K20" s="25">
        <v>5</v>
      </c>
      <c r="L20" s="25">
        <v>6</v>
      </c>
      <c r="M20" s="25">
        <v>7</v>
      </c>
      <c r="N20" s="26">
        <v>8</v>
      </c>
    </row>
    <row r="21" spans="2:16" ht="26.25" customHeight="1" x14ac:dyDescent="0.3">
      <c r="B21" s="15">
        <v>1</v>
      </c>
      <c r="C21" s="169">
        <f>VLOOKUP( $B21, T_Aop[], 5, 1)</f>
        <v>0</v>
      </c>
      <c r="D21" s="626" t="str">
        <f>VLOOKUP( $B21, T_Aop[], 6, 1)</f>
        <v xml:space="preserve">  A. FIXED ASSETS (002 + 008 + 015 + 016 + 017 + 022 + 034)</v>
      </c>
      <c r="E21" s="627"/>
      <c r="F21" s="627"/>
      <c r="G21" s="627"/>
      <c r="H21" s="628"/>
      <c r="I21" s="426">
        <f>VLOOKUP( $B21, T_Aop[], 4, 1)</f>
        <v>1</v>
      </c>
      <c r="J21" s="427"/>
      <c r="K21" s="32">
        <f>SUBTOTAL( 9, K22:K54)</f>
        <v>9447048</v>
      </c>
      <c r="L21" s="32">
        <f>SUBTOTAL( 9, L22:L54)</f>
        <v>6320677</v>
      </c>
      <c r="M21" s="236">
        <f>IF(AND([0]!Godina=2022,MID(Osnovni_podaci!D20,3,1)="H",Osnovni_podaci!L24=3,Osnovni_podaci!G24=0,MID(Osnovni_podaci!D20,3,1)="H",MID(Osnovni_podaci!D20,8,1)="S"),SUM(K21,-L21),A1)</f>
        <v>3126371</v>
      </c>
      <c r="N21" s="33">
        <f>SUBTOTAL( 9, N22:N54)</f>
        <v>3308872</v>
      </c>
    </row>
    <row r="22" spans="2:16" x14ac:dyDescent="0.3">
      <c r="B22" s="15">
        <v>2</v>
      </c>
      <c r="C22" s="360" t="str">
        <f>VLOOKUP( $B22, T_Aop[], 5, 1)</f>
        <v>01</v>
      </c>
      <c r="D22" s="623" t="str">
        <f>VLOOKUP( $B22, T_Aop[], 6, 1)</f>
        <v xml:space="preserve">  I INTANGIBLE ASSETS (003 to 007)</v>
      </c>
      <c r="E22" s="624"/>
      <c r="F22" s="624"/>
      <c r="G22" s="624"/>
      <c r="H22" s="625"/>
      <c r="I22" s="168">
        <f>VLOOKUP( $B22, T_Aop[], 4, 1)</f>
        <v>2</v>
      </c>
      <c r="J22" s="425">
        <v>1</v>
      </c>
      <c r="K22" s="30">
        <f>SUBTOTAL( 9, K23:K27)</f>
        <v>143991</v>
      </c>
      <c r="L22" s="30">
        <f>SUBTOTAL( 9, L23:L27)</f>
        <v>104352</v>
      </c>
      <c r="M22" s="30">
        <f>IF(AND([0]!Godina=2022,MID(Osnovni_podaci!D20,3,1)="H",Osnovni_podaci!L24=3,Osnovni_podaci!G24=0,MID(Osnovni_podaci!D20,3,1)="H",MID(Osnovni_podaci!D20,8,1)="S"),SUM(K22,-L22),A1)</f>
        <v>39639</v>
      </c>
      <c r="N22" s="240">
        <f>SUBTOTAL( 9, N23:N27)</f>
        <v>45214</v>
      </c>
      <c r="P22" s="44"/>
    </row>
    <row r="23" spans="2:16" x14ac:dyDescent="0.3">
      <c r="B23" s="15">
        <v>3</v>
      </c>
      <c r="C23" s="361" t="str">
        <f>VLOOKUP( $B23, T_Aop[], 5, 1)</f>
        <v>010, part 019</v>
      </c>
      <c r="D23" s="604" t="str">
        <f>VLOOKUP( $B23, T_Aop[], 6, 1)</f>
        <v xml:space="preserve">    1. Research and development investments</v>
      </c>
      <c r="E23" s="605"/>
      <c r="F23" s="605"/>
      <c r="G23" s="605"/>
      <c r="H23" s="606"/>
      <c r="I23" s="121">
        <f>VLOOKUP( $B23, T_Aop[], 4, 1)</f>
        <v>3</v>
      </c>
      <c r="J23" s="157"/>
      <c r="K23" s="157"/>
      <c r="L23" s="157"/>
      <c r="M23" s="237">
        <f>IF(AND([0]!Godina=2022,MID(Osnovni_podaci!D20,3,1)="H",Osnovni_podaci!L24=3,Osnovni_podaci!G24=0,MID(Osnovni_podaci!D20,3,1)="H",MID(Osnovni_podaci!D20,8,1)="S"),SUM(K23,-L23),A1)</f>
        <v>0</v>
      </c>
      <c r="N23" s="193"/>
      <c r="P23" s="44"/>
    </row>
    <row r="24" spans="2:16" x14ac:dyDescent="0.3">
      <c r="B24" s="15">
        <v>4</v>
      </c>
      <c r="C24" s="362" t="str">
        <f>VLOOKUP( $B24, T_Aop[], 5, 1)</f>
        <v>011, 013 part 019</v>
      </c>
      <c r="D24" s="601" t="str">
        <f>VLOOKUP( $B24, T_Aop[], 6, 1)</f>
        <v xml:space="preserve">    2. Concessions, patents, licenses, software and similar rights</v>
      </c>
      <c r="E24" s="602"/>
      <c r="F24" s="602"/>
      <c r="G24" s="602"/>
      <c r="H24" s="603"/>
      <c r="I24" s="122">
        <f>VLOOKUP( $B24, T_Aop[], 4, 1)</f>
        <v>4</v>
      </c>
      <c r="J24" s="155"/>
      <c r="K24" s="155"/>
      <c r="L24" s="155"/>
      <c r="M24" s="150">
        <f>IF(AND([0]!Godina=2022,MID(Osnovni_podaci!D20,3,1)="H",Osnovni_podaci!L24=3,Osnovni_podaci!G24=0,MID(Osnovni_podaci!D20,3,1)="H",MID(Osnovni_podaci!D20,8,1)="S"),SUM(K24,-L24),A1)</f>
        <v>0</v>
      </c>
      <c r="N24" s="192"/>
      <c r="P24" s="44"/>
    </row>
    <row r="25" spans="2:16" x14ac:dyDescent="0.3">
      <c r="B25" s="15">
        <v>5</v>
      </c>
      <c r="C25" s="361" t="str">
        <f>VLOOKUP( $B25, T_Aop[], 5, 1)</f>
        <v>012, part 019</v>
      </c>
      <c r="D25" s="604" t="str">
        <f>VLOOKUP( $B25, T_Aop[], 6, 1)</f>
        <v xml:space="preserve">    3. Goodwill</v>
      </c>
      <c r="E25" s="605"/>
      <c r="F25" s="605"/>
      <c r="G25" s="605"/>
      <c r="H25" s="606"/>
      <c r="I25" s="121">
        <f>VLOOKUP( $B25, T_Aop[], 4, 1)</f>
        <v>5</v>
      </c>
      <c r="J25" s="157"/>
      <c r="K25" s="157">
        <v>126008</v>
      </c>
      <c r="L25" s="157">
        <v>86369</v>
      </c>
      <c r="M25" s="151">
        <f>IF(AND([0]!Godina=2022,MID(Osnovni_podaci!D20,3,1)="H",Osnovni_podaci!L24=3,Osnovni_podaci!G24=0,MID(Osnovni_podaci!D20,3,1)="H",MID(Osnovni_podaci!D20,8,1)="S"),SUM(K25,-L25),A1)</f>
        <v>39639</v>
      </c>
      <c r="N25" s="193">
        <v>45214</v>
      </c>
      <c r="P25" s="44"/>
    </row>
    <row r="26" spans="2:16" x14ac:dyDescent="0.3">
      <c r="B26" s="15">
        <v>6</v>
      </c>
      <c r="C26" s="362" t="str">
        <f>VLOOKUP( $B26, T_Aop[], 5, 1)</f>
        <v>014, part 019</v>
      </c>
      <c r="D26" s="601" t="str">
        <f>VLOOKUP( $B26, T_Aop[], 6, 1)</f>
        <v xml:space="preserve">    4. Other intangible assets</v>
      </c>
      <c r="E26" s="602"/>
      <c r="F26" s="602"/>
      <c r="G26" s="602"/>
      <c r="H26" s="603"/>
      <c r="I26" s="122">
        <f>VLOOKUP( $B26, T_Aop[], 4, 1)</f>
        <v>6</v>
      </c>
      <c r="J26" s="155"/>
      <c r="K26" s="155">
        <v>17983</v>
      </c>
      <c r="L26" s="155">
        <v>17983</v>
      </c>
      <c r="M26" s="152">
        <f>IF(AND([0]!Godina=2022,MID(Osnovni_podaci!D20,3,1)="H",Osnovni_podaci!L24=3,Osnovni_podaci!G24=0,MID(Osnovni_podaci!D20,3,1)="H",MID(Osnovni_podaci!D20,8,1)="S"),SUM(K26,-L26),A1)</f>
        <v>0</v>
      </c>
      <c r="N26" s="192">
        <v>0</v>
      </c>
      <c r="P26" s="44"/>
    </row>
    <row r="27" spans="2:16" x14ac:dyDescent="0.3">
      <c r="B27" s="15">
        <v>7</v>
      </c>
      <c r="C27" s="361" t="str">
        <f>VLOOKUP( $B27, T_Aop[], 5, 1)</f>
        <v>015, 016, part 019</v>
      </c>
      <c r="D27" s="604" t="str">
        <f>VLOOKUP( $B27, T_Aop[], 6, 1)</f>
        <v xml:space="preserve">    5. Аdvances (prepayments) and intangible assets in preparation process</v>
      </c>
      <c r="E27" s="605"/>
      <c r="F27" s="605"/>
      <c r="G27" s="605"/>
      <c r="H27" s="606"/>
      <c r="I27" s="121">
        <f>VLOOKUP( $B27, T_Aop[], 4, 1)</f>
        <v>7</v>
      </c>
      <c r="J27" s="157"/>
      <c r="K27" s="157"/>
      <c r="L27" s="157"/>
      <c r="M27" s="151">
        <f>IF(AND([0]!Godina=2022,MID(Osnovni_podaci!D20,3,1)="H",Osnovni_podaci!L24=3,Osnovni_podaci!G24=0,MID(Osnovni_podaci!D20,3,1)="H",MID(Osnovni_podaci!D20,8,1)="S"),SUM(K27,-L27),A1)</f>
        <v>0</v>
      </c>
      <c r="N27" s="193"/>
      <c r="P27" s="44"/>
    </row>
    <row r="28" spans="2:16" x14ac:dyDescent="0.3">
      <c r="B28" s="15">
        <v>8</v>
      </c>
      <c r="C28" s="362" t="str">
        <f>VLOOKUP( $B28, T_Aop[], 5, 1)</f>
        <v>02</v>
      </c>
      <c r="D28" s="607" t="str">
        <f>VLOOKUP( $B28, T_Aop[], 6, 1)</f>
        <v xml:space="preserve">  II REAL ESTATES, PLANT, EQUIPMENT AND INVESTMENT PROPERTY (009 to 014)</v>
      </c>
      <c r="E28" s="608"/>
      <c r="F28" s="608"/>
      <c r="G28" s="608"/>
      <c r="H28" s="609"/>
      <c r="I28" s="171">
        <f>VLOOKUP( $B28, T_Aop[], 4, 1)</f>
        <v>8</v>
      </c>
      <c r="J28" s="155">
        <v>2</v>
      </c>
      <c r="K28" s="30">
        <f>SUBTOTAL(9,K29:K34)</f>
        <v>9303057</v>
      </c>
      <c r="L28" s="30">
        <f>SUBTOTAL(9,L29:L34)</f>
        <v>6216325</v>
      </c>
      <c r="M28" s="31">
        <f>IF(AND([0]!Godina=2022,MID(Osnovni_podaci!D20,3,1)="H",Osnovni_podaci!L24=3,Osnovni_podaci!G24=0,MID(Osnovni_podaci!D20,3,1)="H",MID(Osnovni_podaci!D20,8,1)="S"),SUM(K28,-L28),A1)</f>
        <v>3086732</v>
      </c>
      <c r="N28" s="240">
        <f>SUBTOTAL(9,N29:N34)</f>
        <v>3263658</v>
      </c>
      <c r="P28" s="44"/>
    </row>
    <row r="29" spans="2:16" x14ac:dyDescent="0.3">
      <c r="B29" s="15">
        <v>9</v>
      </c>
      <c r="C29" s="361" t="str">
        <f>VLOOKUP( $B29, T_Aop[], 5, 1)</f>
        <v>020, part 029</v>
      </c>
      <c r="D29" s="604" t="str">
        <f>VLOOKUP( $B29, T_Aop[], 6, 1)</f>
        <v xml:space="preserve">    1. Land</v>
      </c>
      <c r="E29" s="605"/>
      <c r="F29" s="605"/>
      <c r="G29" s="605"/>
      <c r="H29" s="606"/>
      <c r="I29" s="121">
        <f>VLOOKUP( $B29, T_Aop[], 4, 1)</f>
        <v>9</v>
      </c>
      <c r="J29" s="157"/>
      <c r="K29" s="157">
        <v>105215</v>
      </c>
      <c r="L29" s="157"/>
      <c r="M29" s="151">
        <f>IF(AND([0]!Godina=2022,MID(Osnovni_podaci!D20,3,1)="H",Osnovni_podaci!L24=3,Osnovni_podaci!G24=0,MID(Osnovni_podaci!D20,3,1)="H",MID(Osnovni_podaci!D20,8,1)="S"),SUM(K29,-L29),A1)</f>
        <v>105215</v>
      </c>
      <c r="N29" s="193">
        <v>105215</v>
      </c>
      <c r="P29" s="44"/>
    </row>
    <row r="30" spans="2:16" x14ac:dyDescent="0.3">
      <c r="B30" s="15">
        <v>10</v>
      </c>
      <c r="C30" s="362" t="str">
        <f>VLOOKUP( $B30, T_Aop[], 5, 1)</f>
        <v>021, part 029</v>
      </c>
      <c r="D30" s="601" t="str">
        <f>VLOOKUP( $B30, T_Aop[], 6, 1)</f>
        <v xml:space="preserve">    2. Buildings</v>
      </c>
      <c r="E30" s="602"/>
      <c r="F30" s="602"/>
      <c r="G30" s="602"/>
      <c r="H30" s="603"/>
      <c r="I30" s="122">
        <f>VLOOKUP( $B30, T_Aop[], 4, 1)</f>
        <v>10</v>
      </c>
      <c r="J30" s="155"/>
      <c r="K30" s="155">
        <v>1309596</v>
      </c>
      <c r="L30" s="155">
        <v>1185908</v>
      </c>
      <c r="M30" s="152">
        <f>IF(AND([0]!Godina=2022,MID(Osnovni_podaci!D20,3,1)="H",Osnovni_podaci!L24=3,Osnovni_podaci!G24=0,MID(Osnovni_podaci!D20,3,1)="H",MID(Osnovni_podaci!D20,8,1)="S"),SUM(K30,-L30),A1)</f>
        <v>123688</v>
      </c>
      <c r="N30" s="192">
        <v>150145</v>
      </c>
      <c r="P30" s="44"/>
    </row>
    <row r="31" spans="2:16" x14ac:dyDescent="0.3">
      <c r="B31" s="15">
        <v>11</v>
      </c>
      <c r="C31" s="361" t="str">
        <f>VLOOKUP( $B31, T_Aop[], 5, 1)</f>
        <v>022, part 029</v>
      </c>
      <c r="D31" s="604" t="str">
        <f>VLOOKUP( $B31, T_Aop[], 6, 1)</f>
        <v xml:space="preserve">    3. Plant and equipment</v>
      </c>
      <c r="E31" s="605"/>
      <c r="F31" s="605"/>
      <c r="G31" s="605"/>
      <c r="H31" s="606"/>
      <c r="I31" s="121">
        <f>VLOOKUP( $B31, T_Aop[], 4, 1)</f>
        <v>11</v>
      </c>
      <c r="J31" s="157"/>
      <c r="K31" s="157">
        <v>7880423</v>
      </c>
      <c r="L31" s="157">
        <v>5030417</v>
      </c>
      <c r="M31" s="151">
        <f>IF(AND([0]!Godina=2022,MID(Osnovni_podaci!D20,3,1)="H",Osnovni_podaci!L24=3,Osnovni_podaci!G24=0,MID(Osnovni_podaci!D20,3,1)="H",MID(Osnovni_podaci!D20,8,1)="S"),SUM(K31,-L31),A1)</f>
        <v>2850006</v>
      </c>
      <c r="N31" s="193">
        <v>2972274</v>
      </c>
      <c r="P31" s="44"/>
    </row>
    <row r="32" spans="2:16" x14ac:dyDescent="0.3">
      <c r="B32" s="15">
        <v>12</v>
      </c>
      <c r="C32" s="362" t="str">
        <f>VLOOKUP( $B32, T_Aop[], 5, 1)</f>
        <v>023, part 029</v>
      </c>
      <c r="D32" s="601" t="str">
        <f>VLOOKUP( $B32, T_Aop[], 6, 1)</f>
        <v xml:space="preserve">    4. Other real estates, plants and equipment</v>
      </c>
      <c r="E32" s="602"/>
      <c r="F32" s="602"/>
      <c r="G32" s="602"/>
      <c r="H32" s="603"/>
      <c r="I32" s="122">
        <f>VLOOKUP( $B32, T_Aop[], 4, 1)</f>
        <v>12</v>
      </c>
      <c r="J32" s="155"/>
      <c r="K32" s="155"/>
      <c r="L32" s="155"/>
      <c r="M32" s="152">
        <f>IF(AND([0]!Godina=2022,MID(Osnovni_podaci!D20,3,1)="H",Osnovni_podaci!L24=3,Osnovni_podaci!G24=0,MID(Osnovni_podaci!D20,3,1)="H",MID(Osnovni_podaci!D20,8,1)="S"),SUM(K32,-L32),A1)</f>
        <v>0</v>
      </c>
      <c r="N32" s="192"/>
      <c r="P32" s="44"/>
    </row>
    <row r="33" spans="2:16" x14ac:dyDescent="0.3">
      <c r="B33" s="15">
        <v>13</v>
      </c>
      <c r="C33" s="361" t="str">
        <f>VLOOKUP( $B33, T_Aop[], 5, 1)</f>
        <v>024, part 029</v>
      </c>
      <c r="D33" s="604" t="str">
        <f>VLOOKUP( $B33, T_Aop[], 6, 1)</f>
        <v xml:space="preserve">    5. Investment in real estates, plants and equipment not owned by the company</v>
      </c>
      <c r="E33" s="605"/>
      <c r="F33" s="605"/>
      <c r="G33" s="605"/>
      <c r="H33" s="606"/>
      <c r="I33" s="121">
        <f>VLOOKUP( $B33, T_Aop[], 4, 1)</f>
        <v>13</v>
      </c>
      <c r="J33" s="157"/>
      <c r="K33" s="157"/>
      <c r="L33" s="157"/>
      <c r="M33" s="151">
        <f>IF(AND([0]!Godina=2022,MID(Osnovni_podaci!D20,3,1)="H",Osnovni_podaci!L24=3,Osnovni_podaci!G24=0,MID(Osnovni_podaci!D20,3,1)="H",MID(Osnovni_podaci!D20,8,1)="S"),SUM(K33,-L33),A1)</f>
        <v>0</v>
      </c>
      <c r="N33" s="193"/>
      <c r="P33" s="44"/>
    </row>
    <row r="34" spans="2:16" x14ac:dyDescent="0.3">
      <c r="B34" s="15">
        <v>14</v>
      </c>
      <c r="C34" s="362" t="str">
        <f>VLOOKUP( $B34, T_Aop[], 5, 1)</f>
        <v>025, 026, part 029</v>
      </c>
      <c r="D34" s="601" t="str">
        <f>VLOOKUP( $B34, T_Aop[], 6, 1)</f>
        <v xml:space="preserve">    6. Advances (prepayments) and real estates, plant, equipment and investment property in preparation process</v>
      </c>
      <c r="E34" s="602"/>
      <c r="F34" s="602"/>
      <c r="G34" s="602"/>
      <c r="H34" s="603"/>
      <c r="I34" s="122">
        <f>VLOOKUP( $B34, T_Aop[], 4, 1)</f>
        <v>14</v>
      </c>
      <c r="J34" s="155"/>
      <c r="K34" s="155">
        <v>7823</v>
      </c>
      <c r="L34" s="155"/>
      <c r="M34" s="152">
        <f>IF(AND([0]!Godina=2022,MID(Osnovni_podaci!D20,3,1)="H",Osnovni_podaci!L24=3,Osnovni_podaci!G24=0,MID(Osnovni_podaci!D20,3,1)="H",MID(Osnovni_podaci!D20,8,1)="S"),SUM(K34,-L34),A1)</f>
        <v>7823</v>
      </c>
      <c r="N34" s="192">
        <v>36024</v>
      </c>
      <c r="P34" s="44"/>
    </row>
    <row r="35" spans="2:16" ht="12.75" customHeight="1" x14ac:dyDescent="0.3">
      <c r="B35" s="15">
        <v>15</v>
      </c>
      <c r="C35" s="361" t="str">
        <f>VLOOKUP( $B35, T_Aop[], 5, 1)</f>
        <v>03</v>
      </c>
      <c r="D35" s="626" t="str">
        <f>VLOOKUP( $B35, T_Aop[], 6, 1)</f>
        <v xml:space="preserve">  III REAL ESTATES INVESTMENT</v>
      </c>
      <c r="E35" s="627"/>
      <c r="F35" s="627"/>
      <c r="G35" s="627"/>
      <c r="H35" s="628"/>
      <c r="I35" s="170">
        <f>VLOOKUP( $B35, T_Aop[], 4, 1)</f>
        <v>15</v>
      </c>
      <c r="J35" s="157"/>
      <c r="K35" s="203"/>
      <c r="L35" s="203"/>
      <c r="M35" s="32">
        <f>IF(AND([0]!Godina=2022,MID(Osnovni_podaci!D20,3,1)="H",Osnovni_podaci!L24=3,Osnovni_podaci!G24=0,MID(Osnovni_podaci!D20,3,1)="H",MID(Osnovni_podaci!D20,8,1)="S"),SUM(K35,-L35),A1)</f>
        <v>0</v>
      </c>
      <c r="N35" s="194"/>
      <c r="P35" s="44"/>
    </row>
    <row r="36" spans="2:16" x14ac:dyDescent="0.3">
      <c r="B36" s="15">
        <v>16</v>
      </c>
      <c r="C36" s="362" t="str">
        <f>VLOOKUP( $B36, T_Aop[], 5, 1)</f>
        <v>04</v>
      </c>
      <c r="D36" s="607" t="str">
        <f>VLOOKUP( $B36, T_Aop[], 6, 1)</f>
        <v xml:space="preserve">  IV LEASED ASSETS</v>
      </c>
      <c r="E36" s="608"/>
      <c r="F36" s="608"/>
      <c r="G36" s="608"/>
      <c r="H36" s="609"/>
      <c r="I36" s="171">
        <f>VLOOKUP( $B36, T_Aop[], 4, 1)</f>
        <v>16</v>
      </c>
      <c r="J36" s="155"/>
      <c r="K36" s="81"/>
      <c r="L36" s="81"/>
      <c r="M36" s="31">
        <f>IF(AND([0]!Godina=2022,MID(Osnovni_podaci!D20,3,1)="H",Osnovni_podaci!L24=3,Osnovni_podaci!G24=0,MID(Osnovni_podaci!D20,3,1)="H",MID(Osnovni_podaci!D20,8,1)="S"),SUM(K36,-L36),A1)</f>
        <v>0</v>
      </c>
      <c r="N36" s="437"/>
      <c r="P36" s="44"/>
    </row>
    <row r="37" spans="2:16" x14ac:dyDescent="0.3">
      <c r="B37" s="15">
        <v>17</v>
      </c>
      <c r="C37" s="361" t="str">
        <f>VLOOKUP( $B37, T_Aop[], 5, 1)</f>
        <v>05</v>
      </c>
      <c r="D37" s="626" t="str">
        <f>VLOOKUP( $B37, T_Aop[], 6, 1)</f>
        <v xml:space="preserve">  V BIOLOGICAL ASSETS (018 to 021)</v>
      </c>
      <c r="E37" s="627"/>
      <c r="F37" s="627"/>
      <c r="G37" s="627"/>
      <c r="H37" s="628"/>
      <c r="I37" s="170">
        <f>VLOOKUP( $B37, T_Aop[], 4, 1)</f>
        <v>17</v>
      </c>
      <c r="J37" s="157"/>
      <c r="K37" s="32">
        <f>SUBTOTAL(9,K38:K41)</f>
        <v>0</v>
      </c>
      <c r="L37" s="32">
        <f>SUBTOTAL(9,L38:L41)</f>
        <v>0</v>
      </c>
      <c r="M37" s="32">
        <f>IF(AND([0]!Godina=2022,MID(Osnovni_podaci!D20,3,1)="H",Osnovni_podaci!L24=3,Osnovni_podaci!G24=0,MID(Osnovni_podaci!D20,3,1)="H",MID(Osnovni_podaci!D20,8,1)="S"),SUM(K37,-L37),A1)</f>
        <v>0</v>
      </c>
      <c r="N37" s="390">
        <f>SUBTOTAL(9,N38:N41)</f>
        <v>0</v>
      </c>
      <c r="P37" s="44"/>
    </row>
    <row r="38" spans="2:16" x14ac:dyDescent="0.3">
      <c r="B38" s="15">
        <v>18</v>
      </c>
      <c r="C38" s="362" t="str">
        <f>VLOOKUP( $B38, T_Aop[], 5, 1)</f>
        <v>050, part 059</v>
      </c>
      <c r="D38" s="601" t="str">
        <f>VLOOKUP( $B38, T_Aop[], 6, 1)</f>
        <v xml:space="preserve">    1. Forest</v>
      </c>
      <c r="E38" s="602"/>
      <c r="F38" s="602"/>
      <c r="G38" s="602"/>
      <c r="H38" s="603"/>
      <c r="I38" s="122">
        <f>VLOOKUP( $B38, T_Aop[], 4, 1)</f>
        <v>18</v>
      </c>
      <c r="J38" s="155"/>
      <c r="K38" s="155"/>
      <c r="L38" s="155"/>
      <c r="M38" s="152">
        <f>IF(AND([0]!Godina=2022,MID(Osnovni_podaci!D20,3,1)="H",Osnovni_podaci!L24=3,Osnovni_podaci!G24=0,MID(Osnovni_podaci!D20,3,1)="H",MID(Osnovni_podaci!D20,8,1)="S"),SUM(K38,-L38),A1)</f>
        <v>0</v>
      </c>
      <c r="N38" s="192"/>
      <c r="P38" s="44"/>
    </row>
    <row r="39" spans="2:16" x14ac:dyDescent="0.3">
      <c r="B39" s="15">
        <v>19</v>
      </c>
      <c r="C39" s="361" t="str">
        <f>VLOOKUP( $B39, T_Aop[], 5, 1)</f>
        <v>051, part 059</v>
      </c>
      <c r="D39" s="604" t="str">
        <f>VLOOKUP( $B39, T_Aop[], 6, 1)</f>
        <v xml:space="preserve">    2. Growing crops</v>
      </c>
      <c r="E39" s="605"/>
      <c r="F39" s="605"/>
      <c r="G39" s="605"/>
      <c r="H39" s="606"/>
      <c r="I39" s="121">
        <f>VLOOKUP( $B39, T_Aop[], 4, 1)</f>
        <v>19</v>
      </c>
      <c r="J39" s="157"/>
      <c r="K39" s="157"/>
      <c r="L39" s="157"/>
      <c r="M39" s="151">
        <f>IF(AND([0]!Godina=2022,MID(Osnovni_podaci!D20,3,1)="H",Osnovni_podaci!L24=3,Osnovni_podaci!G24=0,MID(Osnovni_podaci!D20,3,1)="H",MID(Osnovni_podaci!D20,8,1)="S"),SUM(K39,-L39),A1)</f>
        <v>0</v>
      </c>
      <c r="N39" s="193"/>
      <c r="P39" s="44"/>
    </row>
    <row r="40" spans="2:16" x14ac:dyDescent="0.3">
      <c r="B40" s="15">
        <v>20</v>
      </c>
      <c r="C40" s="362" t="str">
        <f>VLOOKUP( $B40, T_Aop[], 5, 1)</f>
        <v>052, 053 part 059</v>
      </c>
      <c r="D40" s="601" t="str">
        <f>VLOOKUP( $B40, T_Aop[], 6, 1)</f>
        <v xml:space="preserve">    3. Live stock and other biological assets</v>
      </c>
      <c r="E40" s="602"/>
      <c r="F40" s="602"/>
      <c r="G40" s="602"/>
      <c r="H40" s="603"/>
      <c r="I40" s="122">
        <f>VLOOKUP( $B40, T_Aop[], 4, 1)</f>
        <v>20</v>
      </c>
      <c r="J40" s="155"/>
      <c r="K40" s="155"/>
      <c r="L40" s="155"/>
      <c r="M40" s="152">
        <f>IF(AND([0]!Godina=2022,MID(Osnovni_podaci!D20,3,1)="H",Osnovni_podaci!L24=3,Osnovni_podaci!G24=0,MID(Osnovni_podaci!D20,3,1)="H",MID(Osnovni_podaci!D20,8,1)="S"),SUM(K40,-L40),A1)</f>
        <v>0</v>
      </c>
      <c r="N40" s="192"/>
      <c r="P40" s="44"/>
    </row>
    <row r="41" spans="2:16" x14ac:dyDescent="0.3">
      <c r="B41" s="15">
        <v>21</v>
      </c>
      <c r="C41" s="361" t="str">
        <f>VLOOKUP( $B41, T_Aop[], 5, 1)</f>
        <v>055, 056 and part 059</v>
      </c>
      <c r="D41" s="604" t="str">
        <f>VLOOKUP( $B41, T_Aop[], 6, 1)</f>
        <v xml:space="preserve">    4. Advances (prepayments) and biological assets in preparation process</v>
      </c>
      <c r="E41" s="605"/>
      <c r="F41" s="605"/>
      <c r="G41" s="605"/>
      <c r="H41" s="606"/>
      <c r="I41" s="121">
        <f>VLOOKUP( $B41, T_Aop[], 4, 1)</f>
        <v>21</v>
      </c>
      <c r="J41" s="157"/>
      <c r="K41" s="157"/>
      <c r="L41" s="157"/>
      <c r="M41" s="151">
        <f>IF(AND([0]!Godina=2022,MID(Osnovni_podaci!D20,3,1)="H",Osnovni_podaci!L24=3,Osnovni_podaci!G24=0,MID(Osnovni_podaci!D20,3,1)="H",MID(Osnovni_podaci!D20,8,1)="S"),SUM(K41,-L41),A1)</f>
        <v>0</v>
      </c>
      <c r="N41" s="193"/>
      <c r="P41" s="44"/>
    </row>
    <row r="42" spans="2:16" x14ac:dyDescent="0.3">
      <c r="B42" s="15">
        <v>22</v>
      </c>
      <c r="C42" s="362" t="str">
        <f>VLOOKUP( $B42, T_Aop[], 5, 1)</f>
        <v>06</v>
      </c>
      <c r="D42" s="607" t="str">
        <f>VLOOKUP( $B42, T_Aop[], 6, 1)</f>
        <v xml:space="preserve">  VI LONG TERM FINANCIAL INVESTMENTS (023 + 024 + 025 + 030 +033)</v>
      </c>
      <c r="E42" s="608"/>
      <c r="F42" s="608"/>
      <c r="G42" s="608"/>
      <c r="H42" s="609"/>
      <c r="I42" s="171">
        <f>VLOOKUP( $B42, T_Aop[], 4, 1)</f>
        <v>22</v>
      </c>
      <c r="J42" s="155"/>
      <c r="K42" s="31">
        <f>SUBTOTAL(9,K43:K53)</f>
        <v>0</v>
      </c>
      <c r="L42" s="31">
        <f>SUBTOTAL(9,L43:L53)</f>
        <v>0</v>
      </c>
      <c r="M42" s="31">
        <f>IF(AND([0]!Godina=2022,MID(Osnovni_podaci!D20,3,1)="H",Osnovni_podaci!L24=3,Osnovni_podaci!G24=0,MID(Osnovni_podaci!D20,3,1)="H",MID(Osnovni_podaci!D20,8,1)="S"),SUM(K42,-L42),A1)</f>
        <v>0</v>
      </c>
      <c r="N42" s="34">
        <f>IF(AND([0]!Godina=2022,MID(Osnovni_podaci!D20,3,1)="H",Osnovni_podaci!L24=3,Osnovni_podaci!G24=0,MID(Osnovni_podaci!D20,3,1)="H",MID(Osnovni_podaci!D20,8,1)="S"),SUBTOTAL(9,N43:N53),A1)</f>
        <v>0</v>
      </c>
      <c r="P42" s="44"/>
    </row>
    <row r="43" spans="2:16" x14ac:dyDescent="0.3">
      <c r="B43" s="15">
        <v>23</v>
      </c>
      <c r="C43" s="361" t="str">
        <f>VLOOKUP( $B43, T_Aop[], 5, 1)</f>
        <v>060, part 069</v>
      </c>
      <c r="D43" s="604" t="str">
        <f>VLOOKUP( $B43, T_Aop[], 6, 1)</f>
        <v xml:space="preserve">    1. Shares in related legal entities</v>
      </c>
      <c r="E43" s="605"/>
      <c r="F43" s="605"/>
      <c r="G43" s="605"/>
      <c r="H43" s="606"/>
      <c r="I43" s="121">
        <f>VLOOKUP( $B43, T_Aop[], 4, 1)</f>
        <v>23</v>
      </c>
      <c r="J43" s="157"/>
      <c r="K43" s="157"/>
      <c r="L43" s="157"/>
      <c r="M43" s="151">
        <f>IF(AND([0]!Godina=2022,MID(Osnovni_podaci!D20,3,1)="H",Osnovni_podaci!L24=3,Osnovni_podaci!G24=0,MID(Osnovni_podaci!D20,3,1)="H",MID(Osnovni_podaci!D20,8,1)="S"),SUM(K43,-L43),A1)</f>
        <v>0</v>
      </c>
      <c r="N43" s="193"/>
      <c r="P43" s="44"/>
    </row>
    <row r="44" spans="2:16" x14ac:dyDescent="0.3">
      <c r="B44" s="15">
        <v>24</v>
      </c>
      <c r="C44" s="362" t="str">
        <f>VLOOKUP( $B44, T_Aop[], 5, 1)</f>
        <v>061, part 069</v>
      </c>
      <c r="D44" s="601" t="str">
        <f>VLOOKUP( $B44, T_Aop[], 6, 1)</f>
        <v xml:space="preserve">    2. Shares in associated entities and joint ventures</v>
      </c>
      <c r="E44" s="602"/>
      <c r="F44" s="602"/>
      <c r="G44" s="602"/>
      <c r="H44" s="603"/>
      <c r="I44" s="122">
        <f>VLOOKUP( $B44, T_Aop[], 4, 1)</f>
        <v>24</v>
      </c>
      <c r="J44" s="155"/>
      <c r="K44" s="155"/>
      <c r="L44" s="155"/>
      <c r="M44" s="152">
        <f>IF(AND([0]!Godina=2022,MID(Osnovni_podaci!D20,3,1)="H",Osnovni_podaci!L24=3,Osnovni_podaci!G24=0,MID(Osnovni_podaci!D20,3,1)="H",MID(Osnovni_podaci!D20,8,1)="S"),SUM(K44,-L44),A1)</f>
        <v>0</v>
      </c>
      <c r="N44" s="192"/>
      <c r="P44" s="44"/>
    </row>
    <row r="45" spans="2:16" x14ac:dyDescent="0.3">
      <c r="B45" s="15">
        <v>25</v>
      </c>
      <c r="C45" s="361" t="str">
        <f>VLOOKUP( $B45, T_Aop[], 5, 1)</f>
        <v>part 06</v>
      </c>
      <c r="D45" s="604" t="str">
        <f>VLOOKUP( $B45, T_Aop[], 6, 1)</f>
        <v xml:space="preserve">    3. Financial assets at amortised value (026 to 029)</v>
      </c>
      <c r="E45" s="605"/>
      <c r="F45" s="605"/>
      <c r="G45" s="605"/>
      <c r="H45" s="606"/>
      <c r="I45" s="121">
        <f>VLOOKUP( $B45, T_Aop[], 4, 1)</f>
        <v>25</v>
      </c>
      <c r="J45" s="157"/>
      <c r="K45" s="32">
        <f>SUBTOTAL(9,K46:K49)</f>
        <v>0</v>
      </c>
      <c r="L45" s="32">
        <f>SUBTOTAL(9,L46:L49)</f>
        <v>0</v>
      </c>
      <c r="M45" s="203">
        <f>IF(AND([0]!Godina=2022,MID(Osnovni_podaci!D20,3,1)="H",Osnovni_podaci!L24=3,Osnovni_podaci!G24=0,MID(Osnovni_podaci!D20,3,1)="H",MID(Osnovni_podaci!D20,8,1)="S"),SUM(K45,-L45),A1)</f>
        <v>0</v>
      </c>
      <c r="N45" s="391">
        <f>IF(AND([0]!Godina=2022,MID(Osnovni_podaci!D20,3,1)="H",Osnovni_podaci!L24=3,Osnovni_podaci!G24=0,MID(Osnovni_podaci!D20,3,1)="H",MID(Osnovni_podaci!D20,8,1)="S"),SUBTOTAL(9,N46:N49),A1)</f>
        <v>0</v>
      </c>
      <c r="P45" s="44"/>
    </row>
    <row r="46" spans="2:16" x14ac:dyDescent="0.3">
      <c r="B46" s="15">
        <v>26</v>
      </c>
      <c r="C46" s="362" t="str">
        <f>VLOOKUP( $B46, T_Aop[], 5, 1)</f>
        <v>062, part 069</v>
      </c>
      <c r="D46" s="601" t="str">
        <f>VLOOKUP( $B46, T_Aop[], 6, 1)</f>
        <v xml:space="preserve">      3.1. Long-term loans to related legal entities</v>
      </c>
      <c r="E46" s="602"/>
      <c r="F46" s="602"/>
      <c r="G46" s="602"/>
      <c r="H46" s="603"/>
      <c r="I46" s="122">
        <f>VLOOKUP( $B46, T_Aop[], 4, 1)</f>
        <v>26</v>
      </c>
      <c r="J46" s="155"/>
      <c r="K46" s="155"/>
      <c r="L46" s="155"/>
      <c r="M46" s="152">
        <f>IF(AND([0]!Godina=2022,MID(Osnovni_podaci!D20,3,1)="H",Osnovni_podaci!L24=3,Osnovni_podaci!G24=0,MID(Osnovni_podaci!D20,3,1)="H",MID(Osnovni_podaci!D20,8,1)="S"),SUM(K46,-L46),A1)</f>
        <v>0</v>
      </c>
      <c r="N46" s="192"/>
      <c r="P46" s="44"/>
    </row>
    <row r="47" spans="2:16" x14ac:dyDescent="0.3">
      <c r="B47" s="15">
        <v>27</v>
      </c>
      <c r="C47" s="361" t="str">
        <f>VLOOKUP( $B47, T_Aop[], 5, 1)</f>
        <v>063, part 069</v>
      </c>
      <c r="D47" s="604" t="str">
        <f>VLOOKUP( $B47, T_Aop[], 6, 1)</f>
        <v xml:space="preserve">      3.2. Domestic long-term loans</v>
      </c>
      <c r="E47" s="605"/>
      <c r="F47" s="605"/>
      <c r="G47" s="605"/>
      <c r="H47" s="606"/>
      <c r="I47" s="121">
        <f>VLOOKUP( $B47, T_Aop[], 4, 1)</f>
        <v>27</v>
      </c>
      <c r="J47" s="157"/>
      <c r="K47" s="157"/>
      <c r="L47" s="157"/>
      <c r="M47" s="151">
        <f>IF(AND([0]!Godina=2022,MID(Osnovni_podaci!D20,3,1)="H",Osnovni_podaci!L24=3,Osnovni_podaci!G24=0,MID(Osnovni_podaci!D20,3,1)="H",MID(Osnovni_podaci!D20,8,1)="S"),SUM(K47,-L47),A1)</f>
        <v>0</v>
      </c>
      <c r="N47" s="193"/>
      <c r="P47" s="44"/>
    </row>
    <row r="48" spans="2:16" x14ac:dyDescent="0.3">
      <c r="B48" s="15">
        <v>28</v>
      </c>
      <c r="C48" s="362" t="str">
        <f>VLOOKUP( $B48, T_Aop[], 5, 1)</f>
        <v>064, part 069</v>
      </c>
      <c r="D48" s="601" t="str">
        <f>VLOOKUP( $B48, T_Aop[], 6, 1)</f>
        <v xml:space="preserve">      3.3. Long-term loans abroad</v>
      </c>
      <c r="E48" s="602"/>
      <c r="F48" s="602"/>
      <c r="G48" s="602"/>
      <c r="H48" s="603"/>
      <c r="I48" s="122">
        <f>VLOOKUP( $B48, T_Aop[], 4, 1)</f>
        <v>28</v>
      </c>
      <c r="J48" s="155"/>
      <c r="K48" s="155"/>
      <c r="L48" s="155"/>
      <c r="M48" s="152">
        <f>IF(AND([0]!Godina=2022,MID(Osnovni_podaci!D20,3,1)="H",Osnovni_podaci!L24=3,Osnovni_podaci!G24=0,MID(Osnovni_podaci!D20,3,1)="H",MID(Osnovni_podaci!D20,8,1)="S"),SUM(K48,-L48),A1)</f>
        <v>0</v>
      </c>
      <c r="N48" s="192"/>
      <c r="P48" s="44"/>
    </row>
    <row r="49" spans="2:16" x14ac:dyDescent="0.3">
      <c r="B49" s="15">
        <v>29</v>
      </c>
      <c r="C49" s="361" t="str">
        <f>VLOOKUP( $B49, T_Aop[], 5, 1)</f>
        <v>065, part 069</v>
      </c>
      <c r="D49" s="604" t="str">
        <f>VLOOKUP( $B49, T_Aop[], 6, 1)</f>
        <v xml:space="preserve">      3.4. Other financial assets at amortised value</v>
      </c>
      <c r="E49" s="605"/>
      <c r="F49" s="605"/>
      <c r="G49" s="605"/>
      <c r="H49" s="606"/>
      <c r="I49" s="121">
        <f>VLOOKUP( $B49, T_Aop[], 4, 1)</f>
        <v>29</v>
      </c>
      <c r="J49" s="157"/>
      <c r="K49" s="157"/>
      <c r="L49" s="157"/>
      <c r="M49" s="151">
        <f>IF(AND([0]!Godina=2022,MID(Osnovni_podaci!D20,3,1)="H",Osnovni_podaci!L24=3,Osnovni_podaci!G24=0,MID(Osnovni_podaci!D20,3,1)="H",MID(Osnovni_podaci!D20,8,1)="S"),SUM(K49,-L49),A1)</f>
        <v>0</v>
      </c>
      <c r="N49" s="395"/>
      <c r="P49" s="44"/>
    </row>
    <row r="50" spans="2:16" ht="21.75" customHeight="1" x14ac:dyDescent="0.3">
      <c r="B50" s="15">
        <v>30</v>
      </c>
      <c r="C50" s="362" t="str">
        <f>VLOOKUP( $B50, T_Aop[], 5, 1)</f>
        <v>part 06</v>
      </c>
      <c r="D50" s="601" t="str">
        <f>VLOOKUP( $B50, T_Aop[], 6, 1)</f>
        <v xml:space="preserve">    4. Financial assets at fair value through other comprehensive income (031 + 032)</v>
      </c>
      <c r="E50" s="602"/>
      <c r="F50" s="602"/>
      <c r="G50" s="602"/>
      <c r="H50" s="603"/>
      <c r="I50" s="122">
        <f>VLOOKUP( $B50, T_Aop[], 4, 1)</f>
        <v>30</v>
      </c>
      <c r="J50" s="155"/>
      <c r="K50" s="389">
        <f>SUBTOTAL( 9, K51:K52)</f>
        <v>0</v>
      </c>
      <c r="L50" s="389">
        <f>SUBTOTAL( 9, L51:L52)</f>
        <v>0</v>
      </c>
      <c r="M50" s="31">
        <f>IF(AND([0]!Godina=2022,MID(Osnovni_podaci!D20,3,1)="H",Osnovni_podaci!L24=3,Osnovni_podaci!G24=0,MID(Osnovni_podaci!D20,3,1)="H",MID(Osnovni_podaci!D20,8,1)="S"),SUM(K50,-L50),A1)</f>
        <v>0</v>
      </c>
      <c r="N50" s="240">
        <f>IF(AND([0]!Godina=2022,MID(Osnovni_podaci!D20,3,1)="H",Osnovni_podaci!L24=3,Osnovni_podaci!G24=0,MID(Osnovni_podaci!D20,3,1)="H",MID(Osnovni_podaci!D20,8,1)="S"),SUBTOTAL( 9, N51:N52),A1)</f>
        <v>0</v>
      </c>
      <c r="P50" s="44"/>
    </row>
    <row r="51" spans="2:16" x14ac:dyDescent="0.3">
      <c r="B51" s="15">
        <v>31</v>
      </c>
      <c r="C51" s="361" t="str">
        <f>VLOOKUP( $B51, T_Aop[], 5, 1)</f>
        <v>066, part 069</v>
      </c>
      <c r="D51" s="604" t="str">
        <f>VLOOKUP( $B51, T_Aop[], 6, 1)</f>
        <v xml:space="preserve">      4.1. Equity instruments</v>
      </c>
      <c r="E51" s="605"/>
      <c r="F51" s="605"/>
      <c r="G51" s="605"/>
      <c r="H51" s="606"/>
      <c r="I51" s="121">
        <f>VLOOKUP( $B51, T_Aop[], 4, 1)</f>
        <v>31</v>
      </c>
      <c r="J51" s="157"/>
      <c r="K51" s="238"/>
      <c r="L51" s="238"/>
      <c r="M51" s="151">
        <f>IF(AND([0]!Godina=2022,MID(Osnovni_podaci!D20,3,1)="H",Osnovni_podaci!L24=3,Osnovni_podaci!G24=0,MID(Osnovni_podaci!D20,3,1)="H",MID(Osnovni_podaci!D20,8,1)="S"),SUM(K51,-L51),A1)</f>
        <v>0</v>
      </c>
      <c r="N51" s="395"/>
      <c r="P51" s="44"/>
    </row>
    <row r="52" spans="2:16" x14ac:dyDescent="0.3">
      <c r="B52" s="15">
        <v>32</v>
      </c>
      <c r="C52" s="362" t="str">
        <f>VLOOKUP( $B52, T_Aop[], 5, 1)</f>
        <v>067, part 069</v>
      </c>
      <c r="D52" s="601" t="str">
        <f>VLOOKUP( $B52, T_Aop[], 6, 1)</f>
        <v xml:space="preserve">      4.2. Debt instruments</v>
      </c>
      <c r="E52" s="602"/>
      <c r="F52" s="602"/>
      <c r="G52" s="602"/>
      <c r="H52" s="603"/>
      <c r="I52" s="122">
        <f>VLOOKUP( $B52, T_Aop[], 4, 1)</f>
        <v>32</v>
      </c>
      <c r="J52" s="155"/>
      <c r="K52" s="155"/>
      <c r="L52" s="155"/>
      <c r="M52" s="152">
        <f>IF(AND([0]!Godina=2022,MID(Osnovni_podaci!D20,3,1)="H",Osnovni_podaci!L24=3,Osnovni_podaci!G24=0,MID(Osnovni_podaci!D20,3,1)="H",MID(Osnovni_podaci!D20,8,1)="S"),SUM(K52,-L52),A1)</f>
        <v>0</v>
      </c>
      <c r="N52" s="396"/>
      <c r="P52" s="44"/>
    </row>
    <row r="53" spans="2:16" x14ac:dyDescent="0.3">
      <c r="B53" s="15">
        <v>33</v>
      </c>
      <c r="C53" s="361" t="str">
        <f>VLOOKUP( $B53, T_Aop[], 5, 1)</f>
        <v>068, part 069</v>
      </c>
      <c r="D53" s="604" t="str">
        <f>VLOOKUP( $B53, T_Aop[], 6, 1)</f>
        <v xml:space="preserve">    5. Financial leasing receivables</v>
      </c>
      <c r="E53" s="605"/>
      <c r="F53" s="605"/>
      <c r="G53" s="605"/>
      <c r="H53" s="606"/>
      <c r="I53" s="121">
        <f>VLOOKUP( $B53, T_Aop[], 4, 1)</f>
        <v>33</v>
      </c>
      <c r="J53" s="157"/>
      <c r="K53" s="238"/>
      <c r="L53" s="238"/>
      <c r="M53" s="151">
        <f>IF(AND([0]!Godina=2022,MID(Osnovni_podaci!D20,3,1)="H",Osnovni_podaci!L24=3,Osnovni_podaci!G24=0,MID(Osnovni_podaci!D20,3,1)="H",MID(Osnovni_podaci!D20,8,1)="S"),SUM(K53,-L53),A1)</f>
        <v>0</v>
      </c>
      <c r="N53" s="395"/>
      <c r="P53" s="44"/>
    </row>
    <row r="54" spans="2:16" x14ac:dyDescent="0.3">
      <c r="B54" s="15">
        <v>34</v>
      </c>
      <c r="C54" s="362" t="str">
        <f>VLOOKUP( $B54, T_Aop[], 5, 1)</f>
        <v>07 and 08</v>
      </c>
      <c r="D54" s="607" t="str">
        <f>VLOOKUP( $B54, T_Aop[], 6, 1)</f>
        <v xml:space="preserve">  VII OTHER LONG-TERM ASSETS AND DEFERRED INCOME</v>
      </c>
      <c r="E54" s="608"/>
      <c r="F54" s="608"/>
      <c r="G54" s="608"/>
      <c r="H54" s="609"/>
      <c r="I54" s="171">
        <f>VLOOKUP( $B54, T_Aop[], 4, 1)</f>
        <v>34</v>
      </c>
      <c r="J54" s="155"/>
      <c r="K54" s="81"/>
      <c r="L54" s="81"/>
      <c r="M54" s="31">
        <f>IF(AND([0]!Godina=2022,MID(Osnovni_podaci!D20,3,1)="H",Osnovni_podaci!L24=3,Osnovni_podaci!G24=0,MID(Osnovni_podaci!D20,3,1)="H",MID(Osnovni_podaci!D20,8,1)="S"),SUM(K54,-L54),A1)</f>
        <v>0</v>
      </c>
      <c r="N54" s="397"/>
      <c r="P54" s="44"/>
    </row>
    <row r="55" spans="2:16" x14ac:dyDescent="0.3">
      <c r="B55" s="15">
        <v>35</v>
      </c>
      <c r="C55" s="361" t="str">
        <f>VLOOKUP( $B55, T_Aop[], 5, 1)</f>
        <v>090</v>
      </c>
      <c r="D55" s="626" t="str">
        <f>VLOOKUP( $B55, T_Aop[], 6, 1)</f>
        <v xml:space="preserve">  B  POSTPONED TAX FUNDS</v>
      </c>
      <c r="E55" s="627"/>
      <c r="F55" s="627"/>
      <c r="G55" s="627"/>
      <c r="H55" s="628"/>
      <c r="I55" s="170">
        <f>VLOOKUP( $B55, T_Aop[], 4, 1)</f>
        <v>35</v>
      </c>
      <c r="J55" s="157"/>
      <c r="K55" s="203"/>
      <c r="L55" s="203"/>
      <c r="M55" s="32">
        <f>IF(AND([0]!Godina=2022,MID(Osnovni_podaci!D20,3,1)="H",Osnovni_podaci!L24=3,Osnovni_podaci!G24=0,MID(Osnovni_podaci!D20,3,1)="H",MID(Osnovni_podaci!D20,8,1)="S"),SUM(K55,-L55),A1)</f>
        <v>0</v>
      </c>
      <c r="N55" s="398"/>
      <c r="P55" s="44"/>
    </row>
    <row r="56" spans="2:16" x14ac:dyDescent="0.3">
      <c r="B56" s="15">
        <v>36</v>
      </c>
      <c r="C56" s="362" t="str">
        <f>VLOOKUP( $B56, T_Aop[], 5, 1)</f>
        <v xml:space="preserve"> </v>
      </c>
      <c r="D56" s="607" t="str">
        <f>VLOOKUP( $B56, T_Aop[], 6, 1)</f>
        <v xml:space="preserve">  C. CURRENT ASSETS (037 + 044)</v>
      </c>
      <c r="E56" s="608"/>
      <c r="F56" s="608"/>
      <c r="G56" s="608"/>
      <c r="H56" s="609"/>
      <c r="I56" s="171">
        <f>VLOOKUP( $B56, T_Aop[], 4, 1)</f>
        <v>36</v>
      </c>
      <c r="J56" s="155"/>
      <c r="K56" s="431">
        <f>SUBTOTAL( 9, K57:K85)</f>
        <v>2623367</v>
      </c>
      <c r="L56" s="431">
        <f>SUBTOTAL( 9, L57:L85)</f>
        <v>328142</v>
      </c>
      <c r="M56" s="431">
        <f>IF(AND([0]!Godina=2022,MID(Osnovni_podaci!D20,3,1)="H",Osnovni_podaci!L24=3,Osnovni_podaci!G24=0,MID(Osnovni_podaci!D20,3,1)="H",MID(Osnovni_podaci!D20,8,1)="S"),SUM(K56,-L56),A1)</f>
        <v>2295225</v>
      </c>
      <c r="N56" s="432">
        <f>IF(AND([0]!Godina=2022,MID(Osnovni_podaci!D20,3,1)="H",Osnovni_podaci!L24=3,Osnovni_podaci!G24=0,MID(Osnovni_podaci!D20,3,1)="H",MID(Osnovni_podaci!D20,8,1)="S"),SUBTOTAL( 9, N57:N85),A1)</f>
        <v>2618863</v>
      </c>
      <c r="P56" s="44"/>
    </row>
    <row r="57" spans="2:16" ht="25.5" customHeight="1" x14ac:dyDescent="0.3">
      <c r="B57" s="15">
        <v>37</v>
      </c>
      <c r="C57" s="361" t="str">
        <f>VLOOKUP( $B57, T_Aop[], 5, 1)</f>
        <v>10 to 15</v>
      </c>
      <c r="D57" s="626" t="str">
        <f>VLOOKUP( $B57, T_Aop[], 6, 1)</f>
        <v xml:space="preserve">  I INVENTORIES, FIXED ASSETS AVAILABLE FOR SALE AND ASSETS OF DISCONTINUED OPERATIONS (038 to 043)</v>
      </c>
      <c r="E57" s="627"/>
      <c r="F57" s="627"/>
      <c r="G57" s="627"/>
      <c r="H57" s="628"/>
      <c r="I57" s="170">
        <f>VLOOKUP( $B57, T_Aop[], 4, 1)</f>
        <v>37</v>
      </c>
      <c r="J57" s="157">
        <v>3</v>
      </c>
      <c r="K57" s="394">
        <f>SUBTOTAL(9,K58:K63)</f>
        <v>264512</v>
      </c>
      <c r="L57" s="393">
        <f>SUBTOTAL(9,L58:L63)</f>
        <v>21402</v>
      </c>
      <c r="M57" s="32">
        <f>IF(AND([0]!Godina=2022,MID(Osnovni_podaci!D20,3,1)="H",Osnovni_podaci!L24=3,Osnovni_podaci!G24=0,MID(Osnovni_podaci!D20,3,1)="H",MID(Osnovni_podaci!D20,8,1)="S"),SUM(K57,-L57),A1)</f>
        <v>243110</v>
      </c>
      <c r="N57" s="390">
        <f>IF(AND([0]!Godina=2022,MID(Osnovni_podaci!D20,3,1)="H",Osnovni_podaci!L24=3,Osnovni_podaci!G24=0,MID(Osnovni_podaci!D20,3,1)="H",MID(Osnovni_podaci!D20,8,1)="S"),SUBTOTAL(9,N58:N63),A1)</f>
        <v>215705</v>
      </c>
      <c r="P57" s="44"/>
    </row>
    <row r="58" spans="2:16" x14ac:dyDescent="0.3">
      <c r="B58" s="15">
        <v>38</v>
      </c>
      <c r="C58" s="362" t="str">
        <f>VLOOKUP( $B58, T_Aop[], 5, 1)</f>
        <v>100 to 109</v>
      </c>
      <c r="D58" s="601" t="str">
        <f>VLOOKUP( $B58, T_Aop[], 6, 1)</f>
        <v xml:space="preserve">    1. Inventory of materials</v>
      </c>
      <c r="E58" s="602"/>
      <c r="F58" s="602"/>
      <c r="G58" s="602"/>
      <c r="H58" s="603"/>
      <c r="I58" s="122">
        <f>VLOOKUP( $B58, T_Aop[], 4, 1)</f>
        <v>38</v>
      </c>
      <c r="J58" s="155"/>
      <c r="K58" s="155">
        <v>174235</v>
      </c>
      <c r="L58" s="155">
        <v>21402</v>
      </c>
      <c r="M58" s="152">
        <f>IF(AND([0]!Godina=2022,MID(Osnovni_podaci!D20,3,1)="H",Osnovni_podaci!L24=3,Osnovni_podaci!G24=0,MID(Osnovni_podaci!D20,3,1)="H",MID(Osnovni_podaci!D20,8,1)="S"),SUM(K58,-L58),A1)</f>
        <v>152833</v>
      </c>
      <c r="N58" s="396">
        <v>138573</v>
      </c>
      <c r="P58" s="44"/>
    </row>
    <row r="59" spans="2:16" x14ac:dyDescent="0.3">
      <c r="B59" s="15">
        <v>39</v>
      </c>
      <c r="C59" s="361" t="str">
        <f>VLOOKUP( $B59, T_Aop[], 5, 1)</f>
        <v>110 to 119</v>
      </c>
      <c r="D59" s="604" t="str">
        <f>VLOOKUP( $B59, T_Aop[], 6, 1)</f>
        <v xml:space="preserve">    2. Inventories of work in progress, unfinished products and services</v>
      </c>
      <c r="E59" s="605"/>
      <c r="F59" s="605"/>
      <c r="G59" s="605"/>
      <c r="H59" s="606"/>
      <c r="I59" s="121">
        <f>VLOOKUP( $B59, T_Aop[], 4, 1)</f>
        <v>39</v>
      </c>
      <c r="J59" s="157"/>
      <c r="K59" s="157"/>
      <c r="L59" s="157"/>
      <c r="M59" s="151">
        <f>IF(AND([0]!Godina=2022,MID(Osnovni_podaci!D20,3,1)="H",Osnovni_podaci!L24=3,Osnovni_podaci!G24=0,MID(Osnovni_podaci!D20,3,1)="H",MID(Osnovni_podaci!D20,8,1)="S"),SUM(K59,-L59),A1)</f>
        <v>0</v>
      </c>
      <c r="N59" s="395"/>
      <c r="P59" s="44"/>
    </row>
    <row r="60" spans="2:16" x14ac:dyDescent="0.3">
      <c r="B60" s="15">
        <v>40</v>
      </c>
      <c r="C60" s="362" t="str">
        <f>VLOOKUP( $B60, T_Aop[], 5, 1)</f>
        <v>120 to 129</v>
      </c>
      <c r="D60" s="601" t="str">
        <f>VLOOKUP( $B60, T_Aop[], 6, 1)</f>
        <v xml:space="preserve">    3. Inventory of finished products</v>
      </c>
      <c r="E60" s="602"/>
      <c r="F60" s="602"/>
      <c r="G60" s="602"/>
      <c r="H60" s="603"/>
      <c r="I60" s="122">
        <f>VLOOKUP( $B60, T_Aop[], 4, 1)</f>
        <v>40</v>
      </c>
      <c r="J60" s="155"/>
      <c r="K60" s="155">
        <v>8365</v>
      </c>
      <c r="L60" s="155"/>
      <c r="M60" s="152">
        <f>IF(AND([0]!Godina=2022,MID(Osnovni_podaci!D20,3,1)="H",Osnovni_podaci!L24=3,Osnovni_podaci!G24=0,MID(Osnovni_podaci!D20,3,1)="H",MID(Osnovni_podaci!D20,8,1)="S"),SUM(K60,-L60),A1)</f>
        <v>8365</v>
      </c>
      <c r="N60" s="396">
        <v>9722</v>
      </c>
      <c r="P60" s="44"/>
    </row>
    <row r="61" spans="2:16" s="27" customFormat="1" x14ac:dyDescent="0.3">
      <c r="B61" s="15">
        <v>41</v>
      </c>
      <c r="C61" s="361" t="str">
        <f>VLOOKUP( $B61, T_Aop[], 5, 1)</f>
        <v>130 to 139</v>
      </c>
      <c r="D61" s="604" t="str">
        <f>VLOOKUP( $B61, T_Aop[], 6, 1)</f>
        <v xml:space="preserve">    4. Inventory of merchandise goods</v>
      </c>
      <c r="E61" s="605"/>
      <c r="F61" s="605"/>
      <c r="G61" s="605"/>
      <c r="H61" s="606"/>
      <c r="I61" s="121">
        <f>VLOOKUP( $B61, T_Aop[], 4, 1)</f>
        <v>41</v>
      </c>
      <c r="J61" s="157"/>
      <c r="K61" s="157">
        <v>77770</v>
      </c>
      <c r="L61" s="157"/>
      <c r="M61" s="151">
        <f>IF(AND([0]!Godina=2022,MID(Osnovni_podaci!D20,3,1)="H",Osnovni_podaci!L24=3,Osnovni_podaci!G24=0,MID(Osnovni_podaci!D20,3,1)="H",MID(Osnovni_podaci!D20,8,1)="S"),SUM(K61,-L61),A1)</f>
        <v>77770</v>
      </c>
      <c r="N61" s="395">
        <v>64148</v>
      </c>
      <c r="P61" s="174"/>
    </row>
    <row r="62" spans="2:16" x14ac:dyDescent="0.3">
      <c r="B62" s="15">
        <v>42</v>
      </c>
      <c r="C62" s="362" t="str">
        <f>VLOOKUP( $B62, T_Aop[], 5, 1)</f>
        <v>140 to 149</v>
      </c>
      <c r="D62" s="601" t="str">
        <f>VLOOKUP( $B62, T_Aop[], 6, 1)</f>
        <v xml:space="preserve">    5. Fixed assets and assests of discontinued operations available for sale</v>
      </c>
      <c r="E62" s="602"/>
      <c r="F62" s="602"/>
      <c r="G62" s="602"/>
      <c r="H62" s="603"/>
      <c r="I62" s="122">
        <f>VLOOKUP( $B62, T_Aop[], 4, 1)</f>
        <v>42</v>
      </c>
      <c r="J62" s="155"/>
      <c r="K62" s="155"/>
      <c r="L62" s="155"/>
      <c r="M62" s="152">
        <f>IF(AND([0]!Godina=2022,MID(Osnovni_podaci!D20,3,1)="H",Osnovni_podaci!L24=3,Osnovni_podaci!G24=0,MID(Osnovni_podaci!D20,3,1)="H",MID(Osnovni_podaci!D20,8,1)="S"),SUM(K62,-L62),A1)</f>
        <v>0</v>
      </c>
      <c r="N62" s="396"/>
      <c r="P62" s="44"/>
    </row>
    <row r="63" spans="2:16" x14ac:dyDescent="0.3">
      <c r="B63" s="15">
        <v>43</v>
      </c>
      <c r="C63" s="361" t="str">
        <f>VLOOKUP( $B63, T_Aop[], 5, 1)</f>
        <v>150 to 159</v>
      </c>
      <c r="D63" s="604" t="str">
        <f>VLOOKUP( $B63, T_Aop[], 6, 1)</f>
        <v xml:space="preserve">    6. Advances paid (prepayments)</v>
      </c>
      <c r="E63" s="605"/>
      <c r="F63" s="605"/>
      <c r="G63" s="605"/>
      <c r="H63" s="606"/>
      <c r="I63" s="121">
        <f>VLOOKUP( $B63, T_Aop[], 4, 1)</f>
        <v>43</v>
      </c>
      <c r="J63" s="157"/>
      <c r="K63" s="157">
        <v>4142</v>
      </c>
      <c r="L63" s="157"/>
      <c r="M63" s="151">
        <f>IF(AND([0]!Godina=2022,MID(Osnovni_podaci!D20,3,1)="H",Osnovni_podaci!L24=3,Osnovni_podaci!G24=0,MID(Osnovni_podaci!D20,3,1)="H",MID(Osnovni_podaci!D20,8,1)="S"),SUM(K63,-L63),A1)</f>
        <v>4142</v>
      </c>
      <c r="N63" s="395">
        <v>3262</v>
      </c>
      <c r="P63" s="44"/>
    </row>
    <row r="64" spans="2:16" ht="23.25" customHeight="1" x14ac:dyDescent="0.3">
      <c r="B64" s="15">
        <v>44</v>
      </c>
      <c r="C64" s="362" t="str">
        <f>VLOOKUP( $B64, T_Aop[], 5, 1)</f>
        <v xml:space="preserve"> </v>
      </c>
      <c r="D64" s="607" t="str">
        <f>VLOOKUP( $B64, T_Aop[], 6, 1)</f>
        <v xml:space="preserve">  II CURRENT ASSETS EXCLUDING INVENTORIES AND FIXED ASSETS FOR SALE (045 + 052 + 061 + 064 + 065)</v>
      </c>
      <c r="E64" s="608"/>
      <c r="F64" s="608"/>
      <c r="G64" s="608"/>
      <c r="H64" s="609"/>
      <c r="I64" s="171">
        <f>VLOOKUP( $B64, T_Aop[], 4, 1)</f>
        <v>44</v>
      </c>
      <c r="J64" s="155"/>
      <c r="K64" s="431">
        <f>SUBTOTAL(9,K65:K85)</f>
        <v>2358855</v>
      </c>
      <c r="L64" s="431">
        <f>SUBTOTAL(9,L65:L85)</f>
        <v>306740</v>
      </c>
      <c r="M64" s="431">
        <f>IF(AND([0]!Godina=2022,MID(Osnovni_podaci!D20,3,1)="H",Osnovni_podaci!L24=3,Osnovni_podaci!G24=0,MID(Osnovni_podaci!D20,3,1)="H",MID(Osnovni_podaci!D20,8,1)="S"),SUM(K64,-L64),A1)</f>
        <v>2052115</v>
      </c>
      <c r="N64" s="432">
        <f>IF(AND([0]!Godina=2022,MID(Osnovni_podaci!D20,3,1)="H",Osnovni_podaci!L24=3,Osnovni_podaci!G24=0,MID(Osnovni_podaci!D20,3,1)="H",MID(Osnovni_podaci!D20,8,1)="S"),SUBTOTAL(9,N65:N85),A1)</f>
        <v>2403158</v>
      </c>
      <c r="P64" s="44"/>
    </row>
    <row r="65" spans="2:16" x14ac:dyDescent="0.3">
      <c r="B65" s="15">
        <v>45</v>
      </c>
      <c r="C65" s="361" t="str">
        <f>VLOOKUP( $B65, T_Aop[], 5, 1)</f>
        <v xml:space="preserve"> </v>
      </c>
      <c r="D65" s="604" t="str">
        <f>VLOOKUP( $B65, T_Aop[], 6, 1)</f>
        <v xml:space="preserve">    1. Short-term receivables (046 to 051)</v>
      </c>
      <c r="E65" s="605"/>
      <c r="F65" s="605"/>
      <c r="G65" s="605"/>
      <c r="H65" s="606"/>
      <c r="I65" s="121">
        <f>VLOOKUP( $B65, T_Aop[], 4, 1)</f>
        <v>45</v>
      </c>
      <c r="J65" s="157">
        <v>4</v>
      </c>
      <c r="K65" s="394">
        <f t="shared" ref="K65:L65" si="0">SUBTOTAL(9,K66:K71)</f>
        <v>1815389</v>
      </c>
      <c r="L65" s="394">
        <f t="shared" si="0"/>
        <v>306740</v>
      </c>
      <c r="M65" s="394">
        <f>IF(AND([0]!Godina=2022,MID(Osnovni_podaci!D20,3,1)="H",Osnovni_podaci!L24=3,Osnovni_podaci!G24=0,MID(Osnovni_podaci!D20,3,1)="H",MID(Osnovni_podaci!D20,8,1)="S"),SUM(K65,-L65),A1)</f>
        <v>1508649</v>
      </c>
      <c r="N65" s="390">
        <f>IF(AND([0]!Godina=2022,MID(Osnovni_podaci!D20,3,1)="H",Osnovni_podaci!L24=3,Osnovni_podaci!G24=0,MID(Osnovni_podaci!D20,3,1)="H",MID(Osnovni_podaci!D20,8,1)="S"),SUBTOTAL(9,N66:N71),A1)</f>
        <v>1744265</v>
      </c>
      <c r="P65" s="44"/>
    </row>
    <row r="66" spans="2:16" x14ac:dyDescent="0.3">
      <c r="B66" s="15">
        <v>46</v>
      </c>
      <c r="C66" s="362" t="str">
        <f>VLOOKUP( $B66, T_Aop[], 5, 1)</f>
        <v>200, part 209</v>
      </c>
      <c r="D66" s="601" t="str">
        <f>VLOOKUP( $B66, T_Aop[], 6, 1)</f>
        <v xml:space="preserve">      1.1. Customers - related legal entities</v>
      </c>
      <c r="E66" s="602"/>
      <c r="F66" s="602"/>
      <c r="G66" s="602"/>
      <c r="H66" s="603"/>
      <c r="I66" s="122">
        <f>VLOOKUP( $B66, T_Aop[], 4, 1)</f>
        <v>46</v>
      </c>
      <c r="J66" s="155"/>
      <c r="K66" s="155">
        <v>169663</v>
      </c>
      <c r="L66" s="155"/>
      <c r="M66" s="152">
        <f>IF(AND([0]!Godina=2022,MID(Osnovni_podaci!D20,3,1)="H",Osnovni_podaci!L24=3,Osnovni_podaci!G24=0,MID(Osnovni_podaci!D20,3,1)="H",MID(Osnovni_podaci!D20,8,1)="S"),SUM(K66,-L66),A1)</f>
        <v>169663</v>
      </c>
      <c r="N66" s="396">
        <v>60258</v>
      </c>
      <c r="P66" s="44"/>
    </row>
    <row r="67" spans="2:16" x14ac:dyDescent="0.3">
      <c r="B67" s="15">
        <v>47</v>
      </c>
      <c r="C67" s="361" t="str">
        <f>VLOOKUP( $B67, T_Aop[], 5, 1)</f>
        <v>201, 202, 203, part 209</v>
      </c>
      <c r="D67" s="604" t="str">
        <f>VLOOKUP( $B67, T_Aop[], 6, 1)</f>
        <v xml:space="preserve">      1.2. Domestic customers</v>
      </c>
      <c r="E67" s="605"/>
      <c r="F67" s="605"/>
      <c r="G67" s="605"/>
      <c r="H67" s="606"/>
      <c r="I67" s="121">
        <f>VLOOKUP( $B67, T_Aop[], 4, 1)</f>
        <v>47</v>
      </c>
      <c r="J67" s="157"/>
      <c r="K67" s="157">
        <v>1620543</v>
      </c>
      <c r="L67" s="157">
        <v>306740</v>
      </c>
      <c r="M67" s="151">
        <f>IF(AND([0]!Godina=2022,MID(Osnovni_podaci!D20,3,1)="H",Osnovni_podaci!L24=3,Osnovni_podaci!G24=0,MID(Osnovni_podaci!D20,3,1)="H",MID(Osnovni_podaci!D20,8,1)="S"),SUM(K67,-L67),A1)</f>
        <v>1313803</v>
      </c>
      <c r="N67" s="395">
        <v>1645760</v>
      </c>
      <c r="P67" s="44"/>
    </row>
    <row r="68" spans="2:16" x14ac:dyDescent="0.3">
      <c r="B68" s="15">
        <v>48</v>
      </c>
      <c r="C68" s="362" t="str">
        <f>VLOOKUP( $B68, T_Aop[], 5, 1)</f>
        <v>204, part 209</v>
      </c>
      <c r="D68" s="601" t="str">
        <f>VLOOKUP( $B68, T_Aop[], 6, 1)</f>
        <v xml:space="preserve">      1.3. Foreign customers</v>
      </c>
      <c r="E68" s="602"/>
      <c r="F68" s="602"/>
      <c r="G68" s="602"/>
      <c r="H68" s="603"/>
      <c r="I68" s="122">
        <f>VLOOKUP( $B68, T_Aop[], 4, 1)</f>
        <v>48</v>
      </c>
      <c r="J68" s="155"/>
      <c r="K68" s="155">
        <v>1614</v>
      </c>
      <c r="L68" s="155"/>
      <c r="M68" s="152">
        <f>IF(AND([0]!Godina=2022,MID(Osnovni_podaci!D20,3,1)="H",Osnovni_podaci!L24=3,Osnovni_podaci!G24=0,MID(Osnovni_podaci!D20,3,1)="H",MID(Osnovni_podaci!D20,8,1)="S"),SUM(K68,-L68),A1)</f>
        <v>1614</v>
      </c>
      <c r="N68" s="396">
        <v>37014</v>
      </c>
      <c r="P68" s="44"/>
    </row>
    <row r="69" spans="2:16" x14ac:dyDescent="0.3">
      <c r="B69" s="15">
        <v>49</v>
      </c>
      <c r="C69" s="361" t="str">
        <f>VLOOKUP( $B69, T_Aop[], 5, 1)</f>
        <v>group 21, except 214</v>
      </c>
      <c r="D69" s="604" t="str">
        <f>VLOOKUP( $B69, T_Aop[], 6, 1)</f>
        <v xml:space="preserve">      1.4. Receivables from specific operations</v>
      </c>
      <c r="E69" s="605"/>
      <c r="F69" s="605"/>
      <c r="G69" s="605"/>
      <c r="H69" s="606"/>
      <c r="I69" s="121">
        <f>VLOOKUP( $B69, T_Aop[], 4, 1)</f>
        <v>49</v>
      </c>
      <c r="J69" s="157"/>
      <c r="K69" s="157"/>
      <c r="L69" s="157"/>
      <c r="M69" s="151">
        <f>IF(AND([0]!Godina=2022,MID(Osnovni_podaci!D20,3,1)="H",Osnovni_podaci!L24=3,Osnovni_podaci!G24=0,MID(Osnovni_podaci!D20,3,1)="H",MID(Osnovni_podaci!D20,8,1)="S"),SUM(K69,-L69),A1)</f>
        <v>0</v>
      </c>
      <c r="N69" s="395"/>
      <c r="P69" s="44"/>
    </row>
    <row r="70" spans="2:16" x14ac:dyDescent="0.3">
      <c r="B70" s="15">
        <v>50</v>
      </c>
      <c r="C70" s="362" t="str">
        <f>VLOOKUP( $B70, T_Aop[], 5, 1)</f>
        <v>group 22, except 224</v>
      </c>
      <c r="D70" s="601" t="str">
        <f>VLOOKUP( $B70, T_Aop[], 6, 1)</f>
        <v xml:space="preserve">      1.5. Other short-term receivables</v>
      </c>
      <c r="E70" s="602"/>
      <c r="F70" s="602"/>
      <c r="G70" s="602"/>
      <c r="H70" s="603"/>
      <c r="I70" s="122">
        <f>VLOOKUP( $B70, T_Aop[], 4, 1)</f>
        <v>50</v>
      </c>
      <c r="J70" s="155"/>
      <c r="K70" s="155">
        <v>1569</v>
      </c>
      <c r="L70" s="155"/>
      <c r="M70" s="152">
        <f>IF(AND([0]!Godina=2022,MID(Osnovni_podaci!D20,3,1)="H",Osnovni_podaci!L24=3,Osnovni_podaci!G24=0,MID(Osnovni_podaci!D20,3,1)="H",MID(Osnovni_podaci!D20,8,1)="S"),SUM(K70,-L70),A1)</f>
        <v>1569</v>
      </c>
      <c r="N70" s="396">
        <v>1233</v>
      </c>
      <c r="P70" s="44"/>
    </row>
    <row r="71" spans="2:16" x14ac:dyDescent="0.3">
      <c r="B71" s="15">
        <v>51</v>
      </c>
      <c r="C71" s="361">
        <f>VLOOKUP( $B71, T_Aop[], 5, 1)</f>
        <v>224</v>
      </c>
      <c r="D71" s="604" t="str">
        <f>VLOOKUP( $B71, T_Aop[], 6, 1)</f>
        <v xml:space="preserve">      1.6. Receivables for overpaid income tax</v>
      </c>
      <c r="E71" s="605"/>
      <c r="F71" s="605"/>
      <c r="G71" s="605"/>
      <c r="H71" s="606"/>
      <c r="I71" s="121">
        <f>VLOOKUP( $B71, T_Aop[], 4, 1)</f>
        <v>51</v>
      </c>
      <c r="J71" s="157"/>
      <c r="K71" s="157">
        <v>22000</v>
      </c>
      <c r="L71" s="157"/>
      <c r="M71" s="151">
        <f>IF(AND([0]!Godina=2022,MID(Osnovni_podaci!D20,3,1)="H",Osnovni_podaci!L24=3,Osnovni_podaci!G24=0,MID(Osnovni_podaci!D20,3,1)="H",MID(Osnovni_podaci!D20,8,1)="S"),SUM(K71,-L71),A1)</f>
        <v>22000</v>
      </c>
      <c r="N71" s="395">
        <v>0</v>
      </c>
      <c r="P71" s="44"/>
    </row>
    <row r="72" spans="2:16" x14ac:dyDescent="0.3">
      <c r="B72" s="15">
        <v>52</v>
      </c>
      <c r="C72" s="362" t="str">
        <f>VLOOKUP( $B72, T_Aop[], 5, 1)</f>
        <v xml:space="preserve"> </v>
      </c>
      <c r="D72" s="601" t="str">
        <f>VLOOKUP( $B72, T_Aop[], 6, 1)</f>
        <v xml:space="preserve">    2. Short-term financial investments ( 053 + 058 + 059 + 060)</v>
      </c>
      <c r="E72" s="602"/>
      <c r="F72" s="602"/>
      <c r="G72" s="602"/>
      <c r="H72" s="603"/>
      <c r="I72" s="122">
        <f>VLOOKUP( $B72, T_Aop[], 4, 1)</f>
        <v>52</v>
      </c>
      <c r="J72" s="155"/>
      <c r="K72" s="389">
        <f>IF(AND([0]!Godina=2022,MID(Osnovni_podaci!D20,3,1)="H",Osnovni_podaci!L24=3,Osnovni_podaci!G24=0,MID(Osnovni_podaci!D20,3,1)="H",MID(Osnovni_podaci!D20,8,1)="S"),SUBTOTAL(9,K73:K80),A1)</f>
        <v>0</v>
      </c>
      <c r="L72" s="389">
        <f>SUBTOTAL(9,L73:L80)</f>
        <v>0</v>
      </c>
      <c r="M72" s="389">
        <f>IF(AND([0]!Godina=2022,MID(Osnovni_podaci!D20,3,1)="H",Osnovni_podaci!L24=3,Osnovni_podaci!G24=0,MID(Osnovni_podaci!D20,3,1)="H",MID(Osnovni_podaci!D20,8,1)="S"),SUM(K72,-L72),A1)</f>
        <v>0</v>
      </c>
      <c r="N72" s="399">
        <f>IF(AND([0]!Godina=2022,MID(Osnovni_podaci!D20,3,1)="H",Osnovni_podaci!L24=3,Osnovni_podaci!G24=0,MID(Osnovni_podaci!D20,3,1)="H",MID(Osnovni_podaci!D20,8,1)="S"),SUBTOTAL(9,N73:N80),A1)</f>
        <v>0</v>
      </c>
      <c r="P72" s="44"/>
    </row>
    <row r="73" spans="2:16" x14ac:dyDescent="0.3">
      <c r="B73" s="15">
        <v>53</v>
      </c>
      <c r="C73" s="361" t="str">
        <f>VLOOKUP( $B73, T_Aop[], 5, 1)</f>
        <v xml:space="preserve"> </v>
      </c>
      <c r="D73" s="604" t="str">
        <f>VLOOKUP( $B73, T_Aop[], 6, 1)</f>
        <v xml:space="preserve">      2.1. Financial assets at amortised value (054 to 057)</v>
      </c>
      <c r="E73" s="605"/>
      <c r="F73" s="605"/>
      <c r="G73" s="605"/>
      <c r="H73" s="606"/>
      <c r="I73" s="121">
        <f>VLOOKUP( $B73, T_Aop[], 4, 1)</f>
        <v>53</v>
      </c>
      <c r="J73" s="157"/>
      <c r="K73" s="32">
        <f>IF(AND([0]!Godina=2022,MID(Osnovni_podaci!D20,3,1)="H",Osnovni_podaci!L24=3,Osnovni_podaci!G24=0,MID(Osnovni_podaci!D20,3,1)="H",MID(Osnovni_podaci!D20,8,1)="S"),SUBTOTAL(9,K74:K77),A1)</f>
        <v>0</v>
      </c>
      <c r="L73" s="32">
        <f>SUBTOTAL(9,L74:L77)</f>
        <v>0</v>
      </c>
      <c r="M73" s="394">
        <f>IF(AND([0]!Godina=2022,MID(Osnovni_podaci!D20,3,1)="H",Osnovni_podaci!L24=3,Osnovni_podaci!G24=0,MID(Osnovni_podaci!D20,3,1)="H",MID(Osnovni_podaci!D20,8,1)="S"),SUM(K73,-L73),A1)</f>
        <v>0</v>
      </c>
      <c r="N73" s="400">
        <f>IF(AND([0]!Godina=2022,MID(Osnovni_podaci!D20,3,1)="H",Osnovni_podaci!L24=3,Osnovni_podaci!G24=0,MID(Osnovni_podaci!D20,3,1)="H",MID(Osnovni_podaci!D20,8,1)="S"),SUBTOTAL(9,N74:N77),A1)</f>
        <v>0</v>
      </c>
      <c r="P73" s="44"/>
    </row>
    <row r="74" spans="2:16" x14ac:dyDescent="0.3">
      <c r="B74" s="15">
        <v>54</v>
      </c>
      <c r="C74" s="362" t="str">
        <f>VLOOKUP( $B74, T_Aop[], 5, 1)</f>
        <v>230, part 238</v>
      </c>
      <c r="D74" s="601" t="str">
        <f>VLOOKUP( $B74, T_Aop[], 6, 1)</f>
        <v xml:space="preserve">        a) Short-term loans to related legal entities</v>
      </c>
      <c r="E74" s="602"/>
      <c r="F74" s="602"/>
      <c r="G74" s="602"/>
      <c r="H74" s="603"/>
      <c r="I74" s="122">
        <f>VLOOKUP( $B74, T_Aop[], 4, 1)</f>
        <v>54</v>
      </c>
      <c r="J74" s="155"/>
      <c r="K74" s="155"/>
      <c r="L74" s="155"/>
      <c r="M74" s="152">
        <f>IF(AND([0]!Godina=2022,MID(Osnovni_podaci!D20,3,1)="H",Osnovni_podaci!L24=3,Osnovni_podaci!G24=0,MID(Osnovni_podaci!D20,3,1)="H",MID(Osnovni_podaci!D20,8,1)="S"),SUM(K74,-L74),A1)</f>
        <v>0</v>
      </c>
      <c r="N74" s="396"/>
      <c r="P74" s="44"/>
    </row>
    <row r="75" spans="2:16" x14ac:dyDescent="0.3">
      <c r="B75" s="15">
        <v>55</v>
      </c>
      <c r="C75" s="361" t="str">
        <f>VLOOKUP( $B75, T_Aop[], 5, 1)</f>
        <v>231, part 238</v>
      </c>
      <c r="D75" s="604" t="str">
        <f>VLOOKUP( $B75, T_Aop[], 6, 1)</f>
        <v xml:space="preserve">        b) Domestic short-term loans</v>
      </c>
      <c r="E75" s="605"/>
      <c r="F75" s="605"/>
      <c r="G75" s="605"/>
      <c r="H75" s="606"/>
      <c r="I75" s="121">
        <f>VLOOKUP( $B75, T_Aop[], 4, 1)</f>
        <v>55</v>
      </c>
      <c r="J75" s="157"/>
      <c r="K75" s="157"/>
      <c r="L75" s="157"/>
      <c r="M75" s="151">
        <f>IF(AND([0]!Godina=2022,MID(Osnovni_podaci!D20,3,1)="H",Osnovni_podaci!L24=3,Osnovni_podaci!G24=0,MID(Osnovni_podaci!D20,3,1)="H",MID(Osnovni_podaci!D20,8,1)="S"),SUM(K75,-L75),A1)</f>
        <v>0</v>
      </c>
      <c r="N75" s="395"/>
      <c r="P75" s="44"/>
    </row>
    <row r="76" spans="2:16" x14ac:dyDescent="0.3">
      <c r="B76" s="15">
        <v>56</v>
      </c>
      <c r="C76" s="362" t="str">
        <f>VLOOKUP( $B76, T_Aop[], 5, 1)</f>
        <v>232, part 238</v>
      </c>
      <c r="D76" s="601" t="str">
        <f>VLOOKUP( $B76, T_Aop[], 6, 1)</f>
        <v xml:space="preserve">        c) Short-term loans abroad</v>
      </c>
      <c r="E76" s="602"/>
      <c r="F76" s="602"/>
      <c r="G76" s="602"/>
      <c r="H76" s="603"/>
      <c r="I76" s="122">
        <f>VLOOKUP( $B76, T_Aop[], 4, 1)</f>
        <v>56</v>
      </c>
      <c r="J76" s="155"/>
      <c r="K76" s="155"/>
      <c r="L76" s="155"/>
      <c r="M76" s="152">
        <f>IF(AND([0]!Godina=2022,MID(Osnovni_podaci!D20,3,1)="H",Osnovni_podaci!L24=3,Osnovni_podaci!G24=0,MID(Osnovni_podaci!D20,3,1)="H",MID(Osnovni_podaci!D20,8,1)="S"),SUM(K76,-L76),A1)</f>
        <v>0</v>
      </c>
      <c r="N76" s="396"/>
      <c r="P76" s="44"/>
    </row>
    <row r="77" spans="2:16" x14ac:dyDescent="0.3">
      <c r="B77" s="15">
        <v>57</v>
      </c>
      <c r="C77" s="361" t="str">
        <f>VLOOKUP( $B77, T_Aop[], 5, 1)</f>
        <v>233, part 238</v>
      </c>
      <c r="D77" s="604" t="str">
        <f>VLOOKUP( $B77, T_Aop[], 6, 1)</f>
        <v xml:space="preserve">        d) Other financial assets at amortised value</v>
      </c>
      <c r="E77" s="605"/>
      <c r="F77" s="605"/>
      <c r="G77" s="605"/>
      <c r="H77" s="606"/>
      <c r="I77" s="121">
        <f>VLOOKUP( $B77, T_Aop[], 4, 1)</f>
        <v>57</v>
      </c>
      <c r="J77" s="157"/>
      <c r="K77" s="157"/>
      <c r="L77" s="157"/>
      <c r="M77" s="151">
        <f>IF(AND([0]!Godina=2022,MID(Osnovni_podaci!D20,3,1)="H",Osnovni_podaci!L24=3,Osnovni_podaci!G24=0,MID(Osnovni_podaci!D20,3,1)="H",MID(Osnovni_podaci!D20,8,1)="S"),SUM(K77,-L77),A1)</f>
        <v>0</v>
      </c>
      <c r="N77" s="395"/>
      <c r="P77" s="44"/>
    </row>
    <row r="78" spans="2:16" x14ac:dyDescent="0.3">
      <c r="B78" s="15">
        <v>58</v>
      </c>
      <c r="C78" s="362" t="str">
        <f>VLOOKUP( $B78, T_Aop[], 5, 1)</f>
        <v>235 and 236</v>
      </c>
      <c r="D78" s="601" t="str">
        <f>VLOOKUP( $B78, T_Aop[], 6, 1)</f>
        <v xml:space="preserve">      2.2. Financial assets at fair value through profit and loss</v>
      </c>
      <c r="E78" s="602"/>
      <c r="F78" s="602"/>
      <c r="G78" s="602"/>
      <c r="H78" s="603"/>
      <c r="I78" s="122">
        <f>VLOOKUP( $B78, T_Aop[], 4, 1)</f>
        <v>58</v>
      </c>
      <c r="J78" s="155"/>
      <c r="K78" s="155"/>
      <c r="L78" s="155"/>
      <c r="M78" s="152">
        <f>IF(AND([0]!Godina=2022,MID(Osnovni_podaci!D20,3,1)="H",Osnovni_podaci!L24=3,Osnovni_podaci!G24=0,MID(Osnovni_podaci!D20,3,1)="H",MID(Osnovni_podaci!D20,8,1)="S"),SUM(K78,-L78),A1)</f>
        <v>0</v>
      </c>
      <c r="N78" s="396"/>
      <c r="P78" s="44"/>
    </row>
    <row r="79" spans="2:16" x14ac:dyDescent="0.3">
      <c r="B79" s="15">
        <v>59</v>
      </c>
      <c r="C79" s="361" t="str">
        <f>VLOOKUP( $B79, T_Aop[], 5, 1)</f>
        <v>234, 239</v>
      </c>
      <c r="D79" s="604" t="str">
        <f>VLOOKUP( $B79, T_Aop[], 6, 1)</f>
        <v xml:space="preserve">      2.3. Financial leasing receivables</v>
      </c>
      <c r="E79" s="605"/>
      <c r="F79" s="605"/>
      <c r="G79" s="605"/>
      <c r="H79" s="606"/>
      <c r="I79" s="121">
        <f>VLOOKUP( $B79, T_Aop[], 4, 1)</f>
        <v>59</v>
      </c>
      <c r="J79" s="157"/>
      <c r="K79" s="157"/>
      <c r="L79" s="157"/>
      <c r="M79" s="151">
        <f>IF(AND([0]!Godina=2022,MID(Osnovni_podaci!D20,3,1)="H",Osnovni_podaci!L24=3,Osnovni_podaci!G24=0,MID(Osnovni_podaci!D20,3,1)="H",MID(Osnovni_podaci!D20,8,1)="S"),SUM(K79,-L79),A1)</f>
        <v>0</v>
      </c>
      <c r="N79" s="395"/>
      <c r="P79" s="44"/>
    </row>
    <row r="80" spans="2:16" x14ac:dyDescent="0.3">
      <c r="B80" s="15">
        <v>60</v>
      </c>
      <c r="C80" s="362">
        <f>VLOOKUP( $B80, T_Aop[], 5, 1)</f>
        <v>214</v>
      </c>
      <c r="D80" s="601" t="str">
        <f>VLOOKUP( $B80, T_Aop[], 6, 1)</f>
        <v xml:space="preserve">      2.4. Derivative financial assets</v>
      </c>
      <c r="E80" s="602"/>
      <c r="F80" s="602"/>
      <c r="G80" s="602"/>
      <c r="H80" s="603"/>
      <c r="I80" s="122">
        <f>VLOOKUP( $B80, T_Aop[], 4, 1)</f>
        <v>60</v>
      </c>
      <c r="J80" s="155"/>
      <c r="K80" s="155"/>
      <c r="L80" s="155"/>
      <c r="M80" s="152">
        <f>IF(AND([0]!Godina=2022,MID(Osnovni_podaci!D20,3,1)="H",Osnovni_podaci!L24=3,Osnovni_podaci!G24=0,MID(Osnovni_podaci!D20,3,1)="H",MID(Osnovni_podaci!D20,8,1)="S"),SUM(K80,-L80),A1)</f>
        <v>0</v>
      </c>
      <c r="N80" s="396"/>
      <c r="P80" s="44"/>
    </row>
    <row r="81" spans="2:16" x14ac:dyDescent="0.3">
      <c r="B81" s="15">
        <v>61</v>
      </c>
      <c r="C81" s="361">
        <f>VLOOKUP( $B81, T_Aop[], 5, 1)</f>
        <v>24</v>
      </c>
      <c r="D81" s="604" t="str">
        <f>VLOOKUP( $B81, T_Aop[], 6, 1)</f>
        <v xml:space="preserve">    3. Cash equivalents and cash (062 + 063)</v>
      </c>
      <c r="E81" s="605"/>
      <c r="F81" s="605"/>
      <c r="G81" s="605"/>
      <c r="H81" s="606"/>
      <c r="I81" s="121">
        <f>VLOOKUP( $B81, T_Aop[], 4, 1)</f>
        <v>61</v>
      </c>
      <c r="J81" s="157">
        <v>5</v>
      </c>
      <c r="K81" s="32">
        <f>IF(AND([0]!Godina=2022,MID(Osnovni_podaci!D20,3,1)="H",Osnovni_podaci!L24=3,Osnovni_podaci!G24=0,MID(Osnovni_podaci!D20,3,1)="H",MID(Osnovni_podaci!D20,8,1)="S"),SUBTOTAL(9,K82:K83),A1)</f>
        <v>524736</v>
      </c>
      <c r="L81" s="32">
        <f>IF(AND([0]!Godina=2022,MID(Osnovni_podaci!D20,3,1)="H",Osnovni_podaci!L24=3,Osnovni_podaci!G24=0,MID(Osnovni_podaci!D20,3,1)="H",MID(Osnovni_podaci!D20,8,1)="S"),SUBTOTAL(9,L82:L83),A1)</f>
        <v>0</v>
      </c>
      <c r="M81" s="32">
        <f t="shared" ref="M81:M86" si="1">SUM(K81,-L81)</f>
        <v>524736</v>
      </c>
      <c r="N81" s="400">
        <f>SUBTOTAL(9,N82:N83)</f>
        <v>645941</v>
      </c>
      <c r="P81" s="44"/>
    </row>
    <row r="82" spans="2:16" x14ac:dyDescent="0.3">
      <c r="B82" s="15">
        <v>62</v>
      </c>
      <c r="C82" s="362" t="str">
        <f>VLOOKUP( $B82, T_Aop[], 5, 1)</f>
        <v>240, part 249</v>
      </c>
      <c r="D82" s="601" t="str">
        <f>VLOOKUP( $B82, T_Aop[], 6, 1)</f>
        <v xml:space="preserve">      3.1. Cash equivalents</v>
      </c>
      <c r="E82" s="602"/>
      <c r="F82" s="602"/>
      <c r="G82" s="602"/>
      <c r="H82" s="603"/>
      <c r="I82" s="122">
        <f>VLOOKUP( $B82, T_Aop[], 4, 1)</f>
        <v>62</v>
      </c>
      <c r="J82" s="155"/>
      <c r="K82" s="239"/>
      <c r="L82" s="155"/>
      <c r="M82" s="152">
        <f t="shared" si="1"/>
        <v>0</v>
      </c>
      <c r="N82" s="401"/>
      <c r="P82" s="44"/>
    </row>
    <row r="83" spans="2:16" x14ac:dyDescent="0.3">
      <c r="B83" s="15">
        <v>63</v>
      </c>
      <c r="C83" s="361" t="str">
        <f>VLOOKUP( $B83, T_Aop[], 5, 1)</f>
        <v>241 to 249</v>
      </c>
      <c r="D83" s="604" t="str">
        <f>VLOOKUP( $B83, T_Aop[], 6, 1)</f>
        <v xml:space="preserve">      3.2. Cash</v>
      </c>
      <c r="E83" s="605"/>
      <c r="F83" s="605"/>
      <c r="G83" s="605"/>
      <c r="H83" s="606"/>
      <c r="I83" s="121">
        <f>VLOOKUP( $B83, T_Aop[], 4, 1)</f>
        <v>63</v>
      </c>
      <c r="J83" s="157"/>
      <c r="K83" s="430">
        <v>524736</v>
      </c>
      <c r="L83" s="157"/>
      <c r="M83" s="151">
        <f t="shared" si="1"/>
        <v>524736</v>
      </c>
      <c r="N83" s="395">
        <v>645941</v>
      </c>
      <c r="P83" s="44"/>
    </row>
    <row r="84" spans="2:16" x14ac:dyDescent="0.3">
      <c r="B84" s="15">
        <v>64</v>
      </c>
      <c r="C84" s="362" t="str">
        <f>VLOOKUP( $B84, T_Aop[], 5, 1)</f>
        <v>270 to 279</v>
      </c>
      <c r="D84" s="601" t="str">
        <f>VLOOKUP( $B84, T_Aop[], 6, 1)</f>
        <v xml:space="preserve">    4. Value added tax</v>
      </c>
      <c r="E84" s="602"/>
      <c r="F84" s="602"/>
      <c r="G84" s="602"/>
      <c r="H84" s="603"/>
      <c r="I84" s="122">
        <f>VLOOKUP( $B84, T_Aop[], 4, 1)</f>
        <v>64</v>
      </c>
      <c r="J84" s="155">
        <v>6</v>
      </c>
      <c r="K84" s="429">
        <v>6179</v>
      </c>
      <c r="L84" s="155"/>
      <c r="M84" s="152">
        <f t="shared" si="1"/>
        <v>6179</v>
      </c>
      <c r="N84" s="396">
        <v>4829</v>
      </c>
      <c r="P84" s="44"/>
    </row>
    <row r="85" spans="2:16" x14ac:dyDescent="0.3">
      <c r="B85" s="15">
        <v>65</v>
      </c>
      <c r="C85" s="361" t="str">
        <f>VLOOKUP( $B85, T_Aop[], 5, 1)</f>
        <v>280 to 289</v>
      </c>
      <c r="D85" s="604" t="str">
        <f>VLOOKUP( $B85, T_Aop[], 6, 1)</f>
        <v xml:space="preserve">    5. Short-term accruals</v>
      </c>
      <c r="E85" s="605"/>
      <c r="F85" s="605"/>
      <c r="G85" s="605"/>
      <c r="H85" s="606"/>
      <c r="I85" s="121">
        <f>VLOOKUP( $B85, T_Aop[], 4, 1)</f>
        <v>65</v>
      </c>
      <c r="J85" s="157">
        <v>7</v>
      </c>
      <c r="K85" s="428">
        <v>12551</v>
      </c>
      <c r="L85" s="157"/>
      <c r="M85" s="151">
        <f t="shared" si="1"/>
        <v>12551</v>
      </c>
      <c r="N85" s="395">
        <v>8123</v>
      </c>
      <c r="P85" s="44"/>
    </row>
    <row r="86" spans="2:16" x14ac:dyDescent="0.3">
      <c r="B86" s="15">
        <v>66</v>
      </c>
      <c r="C86" s="362"/>
      <c r="D86" s="607" t="str">
        <f>VLOOKUP( $B86, T_Aop[], 6, 1)</f>
        <v xml:space="preserve">  G. BALANCE SHEET ASSETS (001 + 035+ 036)</v>
      </c>
      <c r="E86" s="608"/>
      <c r="F86" s="608"/>
      <c r="G86" s="608"/>
      <c r="H86" s="609"/>
      <c r="I86" s="172">
        <f>VLOOKUP( $B86, T_Aop[], 4, 1)</f>
        <v>66</v>
      </c>
      <c r="J86" s="155"/>
      <c r="K86" s="31">
        <f>IF(AND([0]!Godina=2022,MID(Osnovni_podaci!D20,3,1)="H",Osnovni_podaci!L24=3,Osnovni_podaci!G24=0,MID(Osnovni_podaci!D20,3,1)="H",MID(Osnovni_podaci!D20,8,1)="S"),SUBTOTAL( 9, K21:K85),A1)</f>
        <v>12070415</v>
      </c>
      <c r="L86" s="31">
        <f>IF(AND([0]!Godina=2022,MID(Osnovni_podaci!D20,3,1)="H",Osnovni_podaci!L24=3,Osnovni_podaci!G24=0,MID(Osnovni_podaci!D20,3,1)="H",MID(Osnovni_podaci!D20,8,1)="S"),SUBTOTAL( 9, L21:L85),A1)</f>
        <v>6648819</v>
      </c>
      <c r="M86" s="81">
        <f t="shared" si="1"/>
        <v>5421596</v>
      </c>
      <c r="N86" s="240">
        <f>SUBTOTAL( 9, N21:N85)</f>
        <v>5927735</v>
      </c>
      <c r="P86" s="44"/>
    </row>
    <row r="87" spans="2:16" x14ac:dyDescent="0.3">
      <c r="B87" s="15">
        <v>67</v>
      </c>
      <c r="C87" s="363" t="str">
        <f>VLOOKUP( $B87, T_Aop[], 5, 1)</f>
        <v>880 to 888</v>
      </c>
      <c r="D87" s="610" t="str">
        <f>VLOOKUP( $B87, T_Aop[], 6, 1)</f>
        <v xml:space="preserve">  D. OFF BALANCE SHEET ASSETS</v>
      </c>
      <c r="E87" s="611"/>
      <c r="F87" s="611"/>
      <c r="G87" s="611"/>
      <c r="H87" s="612"/>
      <c r="I87" s="173">
        <f>VLOOKUP( $B87, T_Aop[], 4, 1)</f>
        <v>67</v>
      </c>
      <c r="J87" s="402"/>
      <c r="K87" s="435"/>
      <c r="L87" s="435"/>
      <c r="M87" s="35">
        <f>SUM(K87,-L87)</f>
        <v>0</v>
      </c>
      <c r="N87" s="436"/>
      <c r="P87" s="44"/>
    </row>
    <row r="88" spans="2:16" x14ac:dyDescent="0.3">
      <c r="C88" s="123"/>
      <c r="D88" s="123"/>
      <c r="E88" s="123"/>
      <c r="F88" s="123"/>
      <c r="G88" s="123"/>
      <c r="H88" s="123"/>
      <c r="I88" s="123"/>
      <c r="J88" s="123"/>
      <c r="K88" s="123"/>
      <c r="L88" s="123"/>
      <c r="M88" s="124"/>
      <c r="N88" s="123"/>
      <c r="P88" s="44"/>
    </row>
    <row r="89" spans="2:16" x14ac:dyDescent="0.3">
      <c r="C89" s="613" t="str">
        <f>Tabele_zaglavlje_Grupa_racuna</f>
        <v>Group and part of group of accounts</v>
      </c>
      <c r="D89" s="631" t="str">
        <f>IF(AND([0]!Godina=2022,MID(Osnovni_podaci!D20,3,1)="H",Osnovni_podaci!L24=3,Osnovni_podaci!G24=0,MID(Osnovni_podaci!D20,3,1)="H",MID(Osnovni_podaci!D20,8,1)="S"),Tabele_zaglavlje_Pozicija,A1)</f>
        <v>ITEM</v>
      </c>
      <c r="E89" s="632"/>
      <c r="F89" s="632"/>
      <c r="G89" s="632"/>
      <c r="H89" s="633"/>
      <c r="I89" s="641" t="str">
        <f>Tabele_zaglavlje_Oznaka_aop</f>
        <v>AOP</v>
      </c>
      <c r="J89" s="615" t="str">
        <f>Tabele_zaglavlje_Napomena_aop</f>
        <v>Note</v>
      </c>
      <c r="K89" s="637"/>
      <c r="L89" s="638"/>
      <c r="M89" s="643" t="str">
        <f>Tabele_zaglavlje_BS_iznos_tekuca</f>
        <v>Current Year Amounts</v>
      </c>
      <c r="N89" s="629" t="str">
        <f>Tabele_zaglavlje_BS_iznos_prethodna</f>
        <v>Previous Year (Opening Balance)</v>
      </c>
      <c r="P89" s="44"/>
    </row>
    <row r="90" spans="2:16" ht="39.75" customHeight="1" x14ac:dyDescent="0.3">
      <c r="C90" s="614"/>
      <c r="D90" s="634"/>
      <c r="E90" s="635"/>
      <c r="F90" s="635"/>
      <c r="G90" s="635"/>
      <c r="H90" s="636"/>
      <c r="I90" s="642"/>
      <c r="J90" s="616"/>
      <c r="K90" s="639"/>
      <c r="L90" s="640"/>
      <c r="M90" s="642"/>
      <c r="N90" s="630"/>
      <c r="P90" s="44"/>
    </row>
    <row r="91" spans="2:16" x14ac:dyDescent="0.3">
      <c r="C91" s="24">
        <v>1</v>
      </c>
      <c r="D91" s="617" t="s">
        <v>3076</v>
      </c>
      <c r="E91" s="618"/>
      <c r="F91" s="618"/>
      <c r="G91" s="618"/>
      <c r="H91" s="619"/>
      <c r="I91" s="235">
        <v>3</v>
      </c>
      <c r="J91" s="241">
        <v>4</v>
      </c>
      <c r="K91" s="404"/>
      <c r="L91" s="405"/>
      <c r="M91" s="234">
        <v>5</v>
      </c>
      <c r="N91" s="26">
        <v>6</v>
      </c>
      <c r="P91" s="44"/>
    </row>
    <row r="92" spans="2:16" ht="22.5" customHeight="1" x14ac:dyDescent="0.3">
      <c r="B92" s="15">
        <v>68</v>
      </c>
      <c r="C92" s="169">
        <f>VLOOKUP( $B92, T_Aop[], 5, 1)</f>
        <v>0</v>
      </c>
      <c r="D92" s="620" t="str">
        <f>IF(AND([0]!Godina=2022,MID(Osnovni_podaci!D20,3,1)="H",Osnovni_podaci!L24=3,Osnovni_podaci!G24=0,MID(Osnovni_podaci!D20,3,1)="H",MID(Osnovni_podaci!D20,8,1)="S"),VLOOKUP( $B92, T_Aop[], 6, 1),A1)</f>
        <v xml:space="preserve">  EQUITY AND LIABILITIES
A. CAPITAL (102 - 109 + 110 - 111 + 112 + 116 + 117 - 118 + 119 - 123)</v>
      </c>
      <c r="E92" s="621"/>
      <c r="F92" s="621"/>
      <c r="G92" s="621"/>
      <c r="H92" s="622"/>
      <c r="I92" s="170">
        <f>VLOOKUP( $B92, T_Aop[], 4, 1)</f>
        <v>101</v>
      </c>
      <c r="J92" s="427">
        <v>8</v>
      </c>
      <c r="K92" s="670"/>
      <c r="L92" s="671"/>
      <c r="M92" s="522">
        <f>SUBTOTAL( 9, M95:M100,M104,M107:M109, M111:M113,M116:M118,M122) - SUBTOTAL( 9, M102:M103, M114, M120:M121) -SUBTOTAL(9, M105)</f>
        <v>4725426</v>
      </c>
      <c r="N92" s="523">
        <f>SUBTOTAL( 9, N95:N100, N104, N107:N109, N111:N113, N116:N118, N122) - SUBTOTAL( 9, N102:N103, N114, N120:N121)-SUBTOTAL(9,N105)</f>
        <v>4270478</v>
      </c>
      <c r="P92" s="44"/>
    </row>
    <row r="93" spans="2:16" x14ac:dyDescent="0.3">
      <c r="B93" s="15">
        <v>69</v>
      </c>
      <c r="C93" s="357" t="str">
        <f>VLOOKUP( $B93, T_Aop[], 5, 1)</f>
        <v>30</v>
      </c>
      <c r="D93" s="623" t="str">
        <f>IF(AND([0]!Godina=2022,MID(Osnovni_podaci!D20,3,1)="H",Osnovni_podaci!L24=3,Osnovni_podaci!G24=0,MID(Osnovni_podaci!D20,3,1)="H",MID(Osnovni_podaci!D20,8,1)="S"),VLOOKUP( $B93, T_Aop[], 6, 1),A1)</f>
        <v xml:space="preserve">  I SHARE CAPITAL (103 + 106 + 107 + 108 + 109)</v>
      </c>
      <c r="E93" s="624"/>
      <c r="F93" s="624"/>
      <c r="G93" s="624"/>
      <c r="H93" s="625"/>
      <c r="I93" s="242">
        <f>VLOOKUP( $B93, T_Aop[], 4, 1)</f>
        <v>102</v>
      </c>
      <c r="J93" s="425"/>
      <c r="K93" s="672"/>
      <c r="L93" s="673"/>
      <c r="M93" s="524">
        <f>SUBTOTAL( 9, M94:M100)</f>
        <v>1177999</v>
      </c>
      <c r="N93" s="525">
        <f>SUBTOTAL( 9, N94:N100)</f>
        <v>1177999</v>
      </c>
      <c r="P93" s="44"/>
    </row>
    <row r="94" spans="2:16" x14ac:dyDescent="0.3">
      <c r="B94" s="15">
        <v>70</v>
      </c>
      <c r="C94" s="358">
        <f>VLOOKUP( $B94, T_Aop[], 5, 1)</f>
        <v>300</v>
      </c>
      <c r="D94" s="604" t="str">
        <f>IF(AND([0]!Godina=2022,MID(Osnovni_podaci!D20,3,1)="H",Osnovni_podaci!L24=3,Osnovni_podaci!G24=0,MID(Osnovni_podaci!D20,3,1)="H",MID(Osnovni_podaci!D20,8,1)="S"),VLOOKUP( $B94, T_Aop[], 6, 1),A1)</f>
        <v xml:space="preserve">    1. Share capital (104+105)</v>
      </c>
      <c r="E94" s="605"/>
      <c r="F94" s="605"/>
      <c r="G94" s="605"/>
      <c r="H94" s="606"/>
      <c r="I94" s="170">
        <f>VLOOKUP( $B94, T_Aop[], 4, 1)</f>
        <v>103</v>
      </c>
      <c r="J94" s="157"/>
      <c r="K94" s="670"/>
      <c r="L94" s="671"/>
      <c r="M94" s="48">
        <f>SUBTOTAL( 9, M95:M96)</f>
        <v>1177999</v>
      </c>
      <c r="N94" s="49">
        <f>SUBTOTAL( 9, N95:N96)</f>
        <v>1177999</v>
      </c>
      <c r="P94" s="44"/>
    </row>
    <row r="95" spans="2:16" x14ac:dyDescent="0.3">
      <c r="B95" s="15">
        <v>71</v>
      </c>
      <c r="C95" s="359"/>
      <c r="D95" s="601" t="str">
        <f>IF(AND([0]!Godina=2022,MID(Osnovni_podaci!D20,3,1)="H",Osnovni_podaci!L24=3,Osnovni_podaci!G24=0,MID(Osnovni_podaci!D20,3,1)="H",MID(Osnovni_podaci!D20,8,1)="S"),VLOOKUP( $B95, T_Aop[], 6, 1),A1)</f>
        <v xml:space="preserve">      1.1. Share capital - common shares</v>
      </c>
      <c r="E95" s="602"/>
      <c r="F95" s="602"/>
      <c r="G95" s="602"/>
      <c r="H95" s="603"/>
      <c r="I95" s="122">
        <f>VLOOKUP( $B95, T_Aop[], 4, 1)</f>
        <v>104</v>
      </c>
      <c r="J95" s="155"/>
      <c r="K95" s="672"/>
      <c r="L95" s="673"/>
      <c r="M95" s="195">
        <v>1177999</v>
      </c>
      <c r="N95" s="196">
        <v>1177999</v>
      </c>
      <c r="P95" s="44"/>
    </row>
    <row r="96" spans="2:16" x14ac:dyDescent="0.3">
      <c r="B96" s="15">
        <v>72</v>
      </c>
      <c r="C96" s="358"/>
      <c r="D96" s="604" t="str">
        <f>IF(AND([0]!Godina=2022,MID(Osnovni_podaci!D20,3,1)="H",Osnovni_podaci!L24=3,Osnovni_podaci!G24=0,MID(Osnovni_podaci!D20,3,1)="H",MID(Osnovni_podaci!D20,8,1)="S"),VLOOKUP( $B96, T_Aop[], 6, 1),A1)</f>
        <v xml:space="preserve">      1.2. Share capital - preferred shares</v>
      </c>
      <c r="E96" s="605"/>
      <c r="F96" s="605"/>
      <c r="G96" s="605"/>
      <c r="H96" s="606"/>
      <c r="I96" s="121">
        <f>VLOOKUP( $B96, T_Aop[], 4, 1)</f>
        <v>105</v>
      </c>
      <c r="J96" s="157"/>
      <c r="K96" s="670"/>
      <c r="L96" s="671"/>
      <c r="M96" s="197"/>
      <c r="N96" s="198"/>
      <c r="P96" s="44"/>
    </row>
    <row r="97" spans="2:16" x14ac:dyDescent="0.3">
      <c r="B97" s="15">
        <v>73</v>
      </c>
      <c r="C97" s="359">
        <f>VLOOKUP( $B97, T_Aop[], 5, 1)</f>
        <v>302</v>
      </c>
      <c r="D97" s="601" t="str">
        <f>IF(AND([0]!Godina=2022,MID(Osnovni_podaci!D20,3,1)="H",Osnovni_podaci!L24=3,Osnovni_podaci!G24=0,MID(Osnovni_podaci!D20,3,1)="H",MID(Osnovni_podaci!D20,8,1)="S"),VLOOKUP( $B97, T_Aop[], 6, 1),A1)</f>
        <v xml:space="preserve">    2. Shares in limited liability company</v>
      </c>
      <c r="E97" s="602"/>
      <c r="F97" s="602"/>
      <c r="G97" s="602"/>
      <c r="H97" s="603"/>
      <c r="I97" s="122">
        <f>VLOOKUP( $B97, T_Aop[], 4, 1)</f>
        <v>106</v>
      </c>
      <c r="J97" s="155"/>
      <c r="K97" s="672"/>
      <c r="L97" s="673"/>
      <c r="M97" s="195"/>
      <c r="N97" s="196"/>
      <c r="P97" s="44"/>
    </row>
    <row r="98" spans="2:16" x14ac:dyDescent="0.3">
      <c r="B98" s="15">
        <v>74</v>
      </c>
      <c r="C98" s="358">
        <f>VLOOKUP( $B98, T_Aop[], 5, 1)</f>
        <v>304</v>
      </c>
      <c r="D98" s="604" t="str">
        <f>IF(AND([0]!Godina=2022,MID(Osnovni_podaci!D20,3,1)="H",Osnovni_podaci!L24=3,Osnovni_podaci!G24=0,MID(Osnovni_podaci!D20,3,1)="H",MID(Osnovni_podaci!D20,8,1)="S"),VLOOKUP( $B98, T_Aop[], 6, 1),A1)</f>
        <v xml:space="preserve">    3. Stakes</v>
      </c>
      <c r="E98" s="605"/>
      <c r="F98" s="605"/>
      <c r="G98" s="605"/>
      <c r="H98" s="606"/>
      <c r="I98" s="121">
        <f>VLOOKUP( $B98, T_Aop[], 4, 1)</f>
        <v>107</v>
      </c>
      <c r="J98" s="157"/>
      <c r="K98" s="670"/>
      <c r="L98" s="671"/>
      <c r="M98" s="197"/>
      <c r="N98" s="198"/>
      <c r="P98" s="44"/>
    </row>
    <row r="99" spans="2:16" x14ac:dyDescent="0.3">
      <c r="B99" s="15">
        <v>75</v>
      </c>
      <c r="C99" s="359">
        <f>VLOOKUP( $B99, T_Aop[], 5, 1)</f>
        <v>305</v>
      </c>
      <c r="D99" s="601" t="str">
        <f>IF(AND([0]!Godina=2022,MID(Osnovni_podaci!D20,3,1)="H",Osnovni_podaci!L24=3,Osnovni_podaci!G24=0,MID(Osnovni_podaci!D20,3,1)="H",MID(Osnovni_podaci!D20,8,1)="S"),VLOOKUP( $B99, T_Aop[], 6, 1),A1)</f>
        <v xml:space="preserve">    4. State-owned capital</v>
      </c>
      <c r="E99" s="602"/>
      <c r="F99" s="602"/>
      <c r="G99" s="602"/>
      <c r="H99" s="603"/>
      <c r="I99" s="122">
        <f>VLOOKUP( $B99, T_Aop[], 4, 1)</f>
        <v>108</v>
      </c>
      <c r="J99" s="155"/>
      <c r="K99" s="672"/>
      <c r="L99" s="673"/>
      <c r="M99" s="195"/>
      <c r="N99" s="196"/>
      <c r="P99" s="44"/>
    </row>
    <row r="100" spans="2:16" x14ac:dyDescent="0.3">
      <c r="B100" s="15">
        <v>76</v>
      </c>
      <c r="C100" s="358" t="str">
        <f>IF(AND([0]!Godina=2022,MID(Osnovni_podaci!D20,3,1)="H",Osnovni_podaci!L24=3,Osnovni_podaci!G24=0,MID(Osnovni_podaci!D20,3,1)="H",MID(Osnovni_podaci!D20,8,1)="S"),VLOOKUP( $B100, T_Aop[], 5, 1),A1)</f>
        <v>309</v>
      </c>
      <c r="D100" s="604" t="str">
        <f>IF(AND([0]!Godina=2022,MID(Osnovni_podaci!D20,3,1)="H",Osnovni_podaci!L24=3,Osnovni_podaci!G24=0,MID(Osnovni_podaci!D20,3,1)="H",MID(Osnovni_podaci!D20,8,1)="S"),VLOOKUP( $B100, T_Aop[], 6, 1),A1)</f>
        <v xml:space="preserve">    5. Other share capital</v>
      </c>
      <c r="E100" s="605"/>
      <c r="F100" s="605"/>
      <c r="G100" s="605"/>
      <c r="H100" s="606"/>
      <c r="I100" s="121">
        <f>IF(AND([0]!Godina=2022,MID(Osnovni_podaci!D20,3,1)="H",Osnovni_podaci!L24=3,Osnovni_podaci!G24=0,MID(Osnovni_podaci!D20,3,1)="H",MID(Osnovni_podaci!D20,8,1)="S"),VLOOKUP( $B100, T_Aop[], 4, 1),A1)</f>
        <v>109</v>
      </c>
      <c r="J100" s="157"/>
      <c r="K100" s="670"/>
      <c r="L100" s="671"/>
      <c r="M100" s="197"/>
      <c r="N100" s="198"/>
      <c r="P100" s="44"/>
    </row>
    <row r="101" spans="2:16" x14ac:dyDescent="0.3">
      <c r="B101" s="15">
        <v>77</v>
      </c>
      <c r="C101" s="359">
        <f>IF(AND([0]!Godina=2022,MID(Osnovni_podaci!D20,3,1)="H",Osnovni_podaci!L24=3,Osnovni_podaci!G24=0,MID(Osnovni_podaci!D20,3,1)="H",MID(Osnovni_podaci!D20,8,1)="S"),VLOOKUP( $B101, T_Aop[], 5, 1),A1)</f>
        <v>31</v>
      </c>
      <c r="D101" s="607" t="str">
        <f>IF(AND([0]!Godina=2022,MID(Osnovni_podaci!D20,3,1)="H",Osnovni_podaci!L24=3,Osnovni_podaci!G24=0,MID(Osnovni_podaci!D20,3,1)="H",MID(Osnovni_podaci!D20,8,1)="S"),VLOOKUP( $B101, T_Aop[], 6, 1),A1)</f>
        <v xml:space="preserve">  II OWNED SHARES AND SUBSCRIBED CAPITAL UNPAID (111 + 112)</v>
      </c>
      <c r="E101" s="608"/>
      <c r="F101" s="608"/>
      <c r="G101" s="608"/>
      <c r="H101" s="609"/>
      <c r="I101" s="171">
        <f>IF(AND([0]!Godina=2022,MID(Osnovni_podaci!D20,3,1)="H",Osnovni_podaci!L24=3,Osnovni_podaci!G24=0,MID(Osnovni_podaci!D20,3,1)="H",MID(Osnovni_podaci!D20,8,1)="S"),VLOOKUP( $B101, T_Aop[], 4, 1),A1)</f>
        <v>110</v>
      </c>
      <c r="J101" s="155"/>
      <c r="K101" s="672"/>
      <c r="L101" s="673"/>
      <c r="M101" s="50">
        <f>SUBTOTAL( 9, M102:M103)</f>
        <v>0</v>
      </c>
      <c r="N101" s="51">
        <f>SUBTOTAL( 9, N102:N103)</f>
        <v>0</v>
      </c>
      <c r="P101" s="44"/>
    </row>
    <row r="102" spans="2:16" x14ac:dyDescent="0.3">
      <c r="B102" s="15">
        <v>78</v>
      </c>
      <c r="C102" s="358">
        <f>IF(AND([0]!Godina=2022,MID(Osnovni_podaci!D20,3,1)="H",Osnovni_podaci!L24=3,Osnovni_podaci!G24=0,MID(Osnovni_podaci!D20,3,1)="H",MID(Osnovni_podaci!D20,8,1)="S"),VLOOKUP( $B102, T_Aop[], 5, 1),A1)</f>
        <v>310</v>
      </c>
      <c r="D102" s="604" t="str">
        <f>IF(AND([0]!Godina=2022,MID(Osnovni_podaci!D20,3,1)="H",Osnovni_podaci!L24=3,Osnovni_podaci!G24=0,MID(Osnovni_podaci!D20,3,1)="H",MID(Osnovni_podaci!D20,8,1)="S"),VLOOKUP( $B102, T_Aop[], 6, 1),A1)</f>
        <v xml:space="preserve">    1. Repurchased owned shares</v>
      </c>
      <c r="E102" s="605"/>
      <c r="F102" s="605"/>
      <c r="G102" s="605"/>
      <c r="H102" s="606"/>
      <c r="I102" s="121">
        <f>IF(AND([0]!Godina=2022,MID(Osnovni_podaci!D20,3,1)="H",Osnovni_podaci!L24=3,Osnovni_podaci!G24=0,MID(Osnovni_podaci!D20,3,1)="H",MID(Osnovni_podaci!D20,8,1)="S"),VLOOKUP( $B102, T_Aop[], 4, 1),A1)</f>
        <v>111</v>
      </c>
      <c r="J102" s="157"/>
      <c r="K102" s="670"/>
      <c r="L102" s="671"/>
      <c r="M102" s="201"/>
      <c r="N102" s="202"/>
      <c r="P102" s="44"/>
    </row>
    <row r="103" spans="2:16" x14ac:dyDescent="0.3">
      <c r="B103" s="15">
        <v>79</v>
      </c>
      <c r="C103" s="359">
        <f>IF(AND([0]!Godina=2022,MID(Osnovni_podaci!D20,3,1)="H",Osnovni_podaci!L24=3,Osnovni_podaci!G24=0,MID(Osnovni_podaci!D20,3,1)="H",MID(Osnovni_podaci!D20,8,1)="S"),VLOOKUP( $B103, T_Aop[], 5, 1),A1)</f>
        <v>311</v>
      </c>
      <c r="D103" s="601" t="str">
        <f>IF(AND([0]!Godina=2022,MID(Osnovni_podaci!D20,3,1)="H",Osnovni_podaci!L24=3,Osnovni_podaci!G24=0,MID(Osnovni_podaci!D20,3,1)="H",MID(Osnovni_podaci!D20,8,1)="S"),VLOOKUP( $B103, T_Aop[], 6, 1),A1)</f>
        <v xml:space="preserve">    2. Subscribed capital unpaid</v>
      </c>
      <c r="E103" s="602"/>
      <c r="F103" s="602"/>
      <c r="G103" s="602"/>
      <c r="H103" s="603"/>
      <c r="I103" s="122">
        <f>IF(AND([0]!Godina=2022,MID(Osnovni_podaci!D20,3,1)="H",Osnovni_podaci!L24=3,Osnovni_podaci!G24=0,MID(Osnovni_podaci!D20,3,1)="H",MID(Osnovni_podaci!D20,8,1)="S"),VLOOKUP( $B103, T_Aop[], 4, 1),A1)</f>
        <v>112</v>
      </c>
      <c r="J103" s="155"/>
      <c r="K103" s="672"/>
      <c r="L103" s="673"/>
      <c r="M103" s="199"/>
      <c r="N103" s="200"/>
      <c r="P103" s="44"/>
    </row>
    <row r="104" spans="2:16" x14ac:dyDescent="0.3">
      <c r="B104" s="15">
        <v>80</v>
      </c>
      <c r="C104" s="358">
        <f>IF(AND([0]!Godina=2022,MID(Osnovni_podaci!D20,3,1)="H",Osnovni_podaci!L24=3,Osnovni_podaci!G24=0,MID(Osnovni_podaci!D20,3,1)="H",MID(Osnovni_podaci!D20,8,1)="S"),VLOOKUP( $B104, T_Aop[], 5, 1),A1)</f>
        <v>320</v>
      </c>
      <c r="D104" s="626" t="str">
        <f>IF(AND([0]!Godina=2022,MID(Osnovni_podaci!D20,3,1)="H",Osnovni_podaci!L24=3,Osnovni_podaci!G24=0,MID(Osnovni_podaci!D20,3,1)="H",MID(Osnovni_podaci!D20,8,1)="S"),VLOOKUP( $B104, T_Aop[], 6, 1),A1)</f>
        <v xml:space="preserve">  III  ISSUANCE PREMIUM </v>
      </c>
      <c r="E104" s="627"/>
      <c r="F104" s="627"/>
      <c r="G104" s="627"/>
      <c r="H104" s="628"/>
      <c r="I104" s="170">
        <f>IF(AND([0]!Godina=2022,MID(Osnovni_podaci!D20,3,1)="H",Osnovni_podaci!L24=3,Osnovni_podaci!G24=0,MID(Osnovni_podaci!D20,3,1)="H",MID(Osnovni_podaci!D20,8,1)="S"),VLOOKUP( $B104, T_Aop[], 4, 1),A1)</f>
        <v>113</v>
      </c>
      <c r="J104" s="157"/>
      <c r="K104" s="670"/>
      <c r="L104" s="671"/>
      <c r="M104" s="201"/>
      <c r="N104" s="202"/>
      <c r="P104" s="44"/>
    </row>
    <row r="105" spans="2:16" x14ac:dyDescent="0.3">
      <c r="B105" s="15">
        <v>81</v>
      </c>
      <c r="C105" s="359">
        <f>IF(AND([0]!Godina=2022,MID(Osnovni_podaci!D20,3,1)="H",Osnovni_podaci!L24=3,Osnovni_podaci!G24=0,MID(Osnovni_podaci!D20,3,1)="H",MID(Osnovni_podaci!D20,8,1)="S"),VLOOKUP( $B105, T_Aop[], 5, 1),A1)</f>
        <v>321</v>
      </c>
      <c r="D105" s="607" t="str">
        <f>IF(AND([0]!Godina=2022,MID(Osnovni_podaci!D20,3,1)="H",Osnovni_podaci!L24=3,Osnovni_podaci!G24=0,MID(Osnovni_podaci!D20,3,1)="H",MID(Osnovni_podaci!D20,8,1)="S"),VLOOKUP( $B105, T_Aop[], 6, 1),A1)</f>
        <v xml:space="preserve">  IV  ISSUANCE LOSS</v>
      </c>
      <c r="E105" s="608"/>
      <c r="F105" s="608"/>
      <c r="G105" s="608"/>
      <c r="H105" s="609"/>
      <c r="I105" s="171">
        <f>IF(AND([0]!Godina=2022,MID(Osnovni_podaci!D20,3,1)="H",Osnovni_podaci!L24=3,Osnovni_podaci!G24=0,MID(Osnovni_podaci!D20,3,1)="H",MID(Osnovni_podaci!D20,8,1)="S"),VLOOKUP( $B105, T_Aop[], 4, 1),A1)</f>
        <v>114</v>
      </c>
      <c r="J105" s="155"/>
      <c r="K105" s="672"/>
      <c r="L105" s="673"/>
      <c r="M105" s="199"/>
      <c r="N105" s="200"/>
      <c r="P105" s="44"/>
    </row>
    <row r="106" spans="2:16" x14ac:dyDescent="0.3">
      <c r="B106" s="15">
        <v>82</v>
      </c>
      <c r="C106" s="358" t="str">
        <f>IF(AND([0]!Godina=2022,MID(Osnovni_podaci!D20,3,1)="H",Osnovni_podaci!L24=3,Osnovni_podaci!G24=0,MID(Osnovni_podaci!D20,3,1)="H",MID(Osnovni_podaci!D20,8,1)="S"),VLOOKUP( $B106, T_Aop[], 5, 1),A1)</f>
        <v>part 32</v>
      </c>
      <c r="D106" s="626" t="str">
        <f>IF(AND([0]!Godina=2022,MID(Osnovni_podaci!D20,3,1)="H",Osnovni_podaci!L24=3,Osnovni_podaci!G24=0,MID(Osnovni_podaci!D20,3,1)="H",MID(Osnovni_podaci!D20,8,1)="S"),VLOOKUP( $B106, T_Aop[], 6, 1),A1)</f>
        <v xml:space="preserve">  V RESERVES (116 to 118)</v>
      </c>
      <c r="E106" s="627"/>
      <c r="F106" s="627"/>
      <c r="G106" s="627"/>
      <c r="H106" s="628"/>
      <c r="I106" s="170">
        <f>IF(AND([0]!Godina=2022,MID(Osnovni_podaci!D20,3,1)="H",Osnovni_podaci!L24=3,Osnovni_podaci!G24=0,MID(Osnovni_podaci!D20,3,1)="H",MID(Osnovni_podaci!D20,8,1)="S"),VLOOKUP( $B106, T_Aop[], 4, 1),A1)</f>
        <v>115</v>
      </c>
      <c r="J106" s="157"/>
      <c r="K106" s="670"/>
      <c r="L106" s="671"/>
      <c r="M106" s="48">
        <f>SUBTOTAL( 9, M107:M109)</f>
        <v>2255014</v>
      </c>
      <c r="N106" s="49">
        <f>SUBTOTAL( 9, N107:N109)</f>
        <v>1521849</v>
      </c>
      <c r="P106" s="44"/>
    </row>
    <row r="107" spans="2:16" x14ac:dyDescent="0.3">
      <c r="B107" s="15">
        <v>83</v>
      </c>
      <c r="C107" s="359">
        <f>IF(AND([0]!Godina=2022,MID(Osnovni_podaci!D20,3,1)="H",Osnovni_podaci!L24=3,Osnovni_podaci!G24=0,MID(Osnovni_podaci!D20,3,1)="H",MID(Osnovni_podaci!D20,8,1)="S"),VLOOKUP( $B107, T_Aop[], 5, 1),A1)</f>
        <v>322</v>
      </c>
      <c r="D107" s="601" t="str">
        <f>IF(AND([0]!Godina=2022,MID(Osnovni_podaci!D20,3,1)="H",Osnovni_podaci!L24=3,Osnovni_podaci!G24=0,MID(Osnovni_podaci!D20,3,1)="H",MID(Osnovni_podaci!D20,8,1)="S"),VLOOKUP( $B107, T_Aop[], 6, 1),A1)</f>
        <v xml:space="preserve">    1. Legal reserves</v>
      </c>
      <c r="E107" s="602"/>
      <c r="F107" s="602"/>
      <c r="G107" s="602"/>
      <c r="H107" s="603"/>
      <c r="I107" s="122">
        <f>IF(AND([0]!Godina=2022,MID(Osnovni_podaci!D20,3,1)="H",Osnovni_podaci!L24=3,Osnovni_podaci!G24=0,MID(Osnovni_podaci!D20,3,1)="H",MID(Osnovni_podaci!D20,8,1)="S"),VLOOKUP( $B107, T_Aop[], 4, 1),A1)</f>
        <v>116</v>
      </c>
      <c r="J107" s="155"/>
      <c r="K107" s="672"/>
      <c r="L107" s="673"/>
      <c r="M107" s="195">
        <v>144261</v>
      </c>
      <c r="N107" s="196">
        <v>107603</v>
      </c>
      <c r="P107" s="44"/>
    </row>
    <row r="108" spans="2:16" x14ac:dyDescent="0.3">
      <c r="B108" s="15">
        <v>84</v>
      </c>
      <c r="C108" s="358">
        <f>IF(AND([0]!Godina=2022,MID(Osnovni_podaci!D20,3,1)="H",Osnovni_podaci!L24=3,Osnovni_podaci!G24=0,MID(Osnovni_podaci!D20,3,1)="H",MID(Osnovni_podaci!D20,8,1)="S"),VLOOKUP( $B108, T_Aop[], 5, 1),A1)</f>
        <v>323</v>
      </c>
      <c r="D108" s="604" t="str">
        <f>IF(AND([0]!Godina=2022,MID(Osnovni_podaci!D20,3,1)="H",Osnovni_podaci!L24=3,Osnovni_podaci!G24=0,MID(Osnovni_podaci!D20,3,1)="H",MID(Osnovni_podaci!D20,8,1)="S"),VLOOKUP( $B108, T_Aop[], 6, 1),A1)</f>
        <v xml:space="preserve">    2. Statutory reserves</v>
      </c>
      <c r="E108" s="605"/>
      <c r="F108" s="605"/>
      <c r="G108" s="605"/>
      <c r="H108" s="606"/>
      <c r="I108" s="121">
        <f>IF(AND([0]!Godina=2022,MID(Osnovni_podaci!D20,3,1)="H",Osnovni_podaci!L24=3,Osnovni_podaci!G24=0,MID(Osnovni_podaci!D20,3,1)="H",MID(Osnovni_podaci!D20,8,1)="S"),VLOOKUP( $B108, T_Aop[], 4, 1),A1)</f>
        <v>117</v>
      </c>
      <c r="J108" s="157"/>
      <c r="K108" s="670"/>
      <c r="L108" s="671"/>
      <c r="M108" s="159">
        <v>2110753</v>
      </c>
      <c r="N108" s="395">
        <v>1414246</v>
      </c>
      <c r="P108" s="44"/>
    </row>
    <row r="109" spans="2:16" x14ac:dyDescent="0.3">
      <c r="B109" s="15">
        <v>85</v>
      </c>
      <c r="C109" s="359">
        <f>IF(AND([0]!Godina=2022,MID(Osnovni_podaci!D20,3,1)="H",Osnovni_podaci!L24=3,Osnovni_podaci!G24=0,MID(Osnovni_podaci!D20,3,1)="H",MID(Osnovni_podaci!D20,8,1)="S"),VLOOKUP( $B109, T_Aop[], 5, 1),A1)</f>
        <v>329</v>
      </c>
      <c r="D109" s="601" t="str">
        <f>IF(AND([0]!Godina=2022,MID(Osnovni_podaci!D20,3,1)="H",Osnovni_podaci!L24=3,Osnovni_podaci!G24=0,MID(Osnovni_podaci!D20,3,1)="H",MID(Osnovni_podaci!D20,8,1)="S"),VLOOKUP( $B109, T_Aop[], 6, 1),A1)</f>
        <v xml:space="preserve">    3. Other reserves</v>
      </c>
      <c r="E109" s="602"/>
      <c r="F109" s="602"/>
      <c r="G109" s="602"/>
      <c r="H109" s="603"/>
      <c r="I109" s="122">
        <f>IF(AND([0]!Godina=2022,MID(Osnovni_podaci!D20,3,1)="H",Osnovni_podaci!L24=3,Osnovni_podaci!G24=0,MID(Osnovni_podaci!D20,3,1)="H",MID(Osnovni_podaci!D20,8,1)="S"),VLOOKUP( $B109, T_Aop[], 4, 1),A1)</f>
        <v>118</v>
      </c>
      <c r="J109" s="155"/>
      <c r="K109" s="672"/>
      <c r="L109" s="673"/>
      <c r="M109" s="195"/>
      <c r="N109" s="396"/>
      <c r="P109" s="44"/>
    </row>
    <row r="110" spans="2:16" ht="11.25" customHeight="1" x14ac:dyDescent="0.3">
      <c r="B110" s="15">
        <v>86</v>
      </c>
      <c r="C110" s="358" t="str">
        <f>IF(AND([0]!Godina=2022,MID(Osnovni_podaci!D20,3,1)="H",Osnovni_podaci!L24=3,Osnovni_podaci!G24=0,MID(Osnovni_podaci!D20,3,1)="H",MID(Osnovni_podaci!D20,8,1)="S"),VLOOKUP( $B110, T_Aop[], 5, 1),A1)</f>
        <v>part 33</v>
      </c>
      <c r="D110" s="626" t="str">
        <f>IF(AND([0]!Godina=2022,MID(Osnovni_podaci!D20,3,1)="H",Osnovni_podaci!L24=3,Osnovni_podaci!G24=0,MID(Osnovni_podaci!D20,3,1)="H",MID(Osnovni_podaci!D20,8,1)="S"),VLOOKUP( $B110, T_Aop[], 6, 1),A1)</f>
        <v xml:space="preserve">  VI REVALUATION RESERVES (120 + 121)</v>
      </c>
      <c r="E110" s="627"/>
      <c r="F110" s="627"/>
      <c r="G110" s="627"/>
      <c r="H110" s="628"/>
      <c r="I110" s="170">
        <f>IF(AND([0]!Godina=2022,MID(Osnovni_podaci!D20,3,1)="H",Osnovni_podaci!L24=3,Osnovni_podaci!G24=0,MID(Osnovni_podaci!D20,3,1)="H",MID(Osnovni_podaci!D20,8,1)="S"),VLOOKUP( $B110, T_Aop[], 4, 1),A1)</f>
        <v>119</v>
      </c>
      <c r="J110" s="157"/>
      <c r="K110" s="670"/>
      <c r="L110" s="671"/>
      <c r="M110" s="48">
        <f>SUBTOTAL( 9, M111:M112)</f>
        <v>837465</v>
      </c>
      <c r="N110" s="400">
        <f>SUBTOTAL( 9, N111:N112)</f>
        <v>837465</v>
      </c>
      <c r="P110" s="44"/>
    </row>
    <row r="111" spans="2:16" x14ac:dyDescent="0.3">
      <c r="B111" s="15">
        <v>87</v>
      </c>
      <c r="C111" s="359">
        <f>IF(AND([0]!Godina=2022,MID(Osnovni_podaci!D20,3,1)="H",Osnovni_podaci!L24=3,Osnovni_podaci!G24=0,MID(Osnovni_podaci!D20,3,1)="H",MID(Osnovni_podaci!D20,8,1)="S"),VLOOKUP( $B111, T_Aop[], 5, 1),A1)</f>
        <v>330</v>
      </c>
      <c r="D111" s="601" t="str">
        <f>IF(AND([0]!Godina=2022,MID(Osnovni_podaci!D20,3,1)="H",Osnovni_podaci!L24=3,Osnovni_podaci!G24=0,MID(Osnovni_podaci!D20,3,1)="H",MID(Osnovni_podaci!D20,8,1)="S"),VLOOKUP( $B111, T_Aop[], 6, 1),A1)</f>
        <v xml:space="preserve">    1. Revaluation reserves for real estates, plant, equipment and intangible assets</v>
      </c>
      <c r="E111" s="602"/>
      <c r="F111" s="602"/>
      <c r="G111" s="602"/>
      <c r="H111" s="603"/>
      <c r="I111" s="122">
        <f>IF(AND([0]!Godina=2022,MID(Osnovni_podaci!D20,3,1)="H",Osnovni_podaci!L24=3,Osnovni_podaci!G24=0,MID(Osnovni_podaci!D20,3,1)="H",MID(Osnovni_podaci!D20,8,1)="S"),VLOOKUP( $B111, T_Aop[], 4, 1),A1)</f>
        <v>120</v>
      </c>
      <c r="J111" s="155"/>
      <c r="K111" s="672"/>
      <c r="L111" s="673"/>
      <c r="M111" s="195"/>
      <c r="N111" s="396"/>
      <c r="P111" s="44"/>
    </row>
    <row r="112" spans="2:16" x14ac:dyDescent="0.3">
      <c r="B112" s="15">
        <v>88</v>
      </c>
      <c r="C112" s="358" t="str">
        <f>IF(AND([0]!Godina=2022,MID(Osnovni_podaci!D20,3,1)="H",Osnovni_podaci!L24=3,Osnovni_podaci!G24=0,MID(Osnovni_podaci!D20,3,1)="H",MID(Osnovni_podaci!D20,8,1)="S"),VLOOKUP( $B112, T_Aop[], 5, 1),A1)</f>
        <v>331 and 334</v>
      </c>
      <c r="D112" s="604" t="str">
        <f>IF(AND([0]!Godina=2022,MID(Osnovni_podaci!D20,3,1)="H",Osnovni_podaci!L24=3,Osnovni_podaci!G24=0,MID(Osnovni_podaci!D20,3,1)="H",MID(Osnovni_podaci!D20,8,1)="S"),VLOOKUP( $B112, T_Aop[], 6, 1),A1)</f>
        <v xml:space="preserve">    2. Other revaluation reserves</v>
      </c>
      <c r="E112" s="605"/>
      <c r="F112" s="605"/>
      <c r="G112" s="605"/>
      <c r="H112" s="606"/>
      <c r="I112" s="121">
        <f>IF(AND([0]!Godina=2022,MID(Osnovni_podaci!D20,3,1)="H",Osnovni_podaci!L24=3,Osnovni_podaci!G24=0,MID(Osnovni_podaci!D20,3,1)="H",MID(Osnovni_podaci!D20,8,1)="S"),VLOOKUP( $B112, T_Aop[], 4, 1),A1)</f>
        <v>121</v>
      </c>
      <c r="J112" s="157"/>
      <c r="K112" s="670"/>
      <c r="L112" s="671"/>
      <c r="M112" s="197">
        <v>837465</v>
      </c>
      <c r="N112" s="395">
        <v>837465</v>
      </c>
      <c r="P112" s="44"/>
    </row>
    <row r="113" spans="2:16" ht="21" customHeight="1" x14ac:dyDescent="0.3">
      <c r="B113" s="15">
        <v>89</v>
      </c>
      <c r="C113" s="359">
        <f>IF(AND([0]!Godina=2022,MID(Osnovni_podaci!D20,3,1)="H",Osnovni_podaci!L24=3,Osnovni_podaci!G24=0,MID(Osnovni_podaci!D20,3,1)="H",MID(Osnovni_podaci!D20,8,1)="S"),VLOOKUP( $B113, T_Aop[], 5, 1),A1)</f>
        <v>332</v>
      </c>
      <c r="D113" s="659" t="str">
        <f>IF(AND([0]!Godina=2022,MID(Osnovni_podaci!D20,3,1)="H",Osnovni_podaci!L24=3,Osnovni_podaci!G24=0,MID(Osnovni_podaci!D20,3,1)="H",MID(Osnovni_podaci!D20,8,1)="S"),VLOOKUP( $B113, T_Aop[], 6, 1),A1)</f>
        <v xml:space="preserve">  VII POSITIVE EFFECTS OF FINANCIAL ASSETS HELD AT THE FAIR VALUE THROUGH OTHER COMPREHENSIVE INCOME</v>
      </c>
      <c r="E113" s="660"/>
      <c r="F113" s="660"/>
      <c r="G113" s="660"/>
      <c r="H113" s="661"/>
      <c r="I113" s="171">
        <f>IF(AND([0]!Godina=2022,MID(Osnovni_podaci!D20,3,1)="H",Osnovni_podaci!L24=3,Osnovni_podaci!G24=0,MID(Osnovni_podaci!D20,3,1)="H",MID(Osnovni_podaci!D20,8,1)="S"),VLOOKUP( $B113, T_Aop[], 4, 1),A1)</f>
        <v>122</v>
      </c>
      <c r="J113" s="155"/>
      <c r="K113" s="672"/>
      <c r="L113" s="673"/>
      <c r="M113" s="199"/>
      <c r="N113" s="397"/>
      <c r="P113" s="44"/>
    </row>
    <row r="114" spans="2:16" ht="23.25" customHeight="1" x14ac:dyDescent="0.3">
      <c r="B114" s="15">
        <v>90</v>
      </c>
      <c r="C114" s="358">
        <f>IF(AND([0]!Godina=2022,MID(Osnovni_podaci!D20,3,1)="H",Osnovni_podaci!L24=3,Osnovni_podaci!G24=0,MID(Osnovni_podaci!D20,3,1)="H",MID(Osnovni_podaci!D20,8,1)="S"),VLOOKUP( $B114, T_Aop[], 5, 1),A1)</f>
        <v>333</v>
      </c>
      <c r="D114" s="620" t="str">
        <f>IF(AND([0]!Godina=2022,MID(Osnovni_podaci!D20,3,1)="H",Osnovni_podaci!L24=3,Osnovni_podaci!G24=0,MID(Osnovni_podaci!D20,3,1)="H",MID(Osnovni_podaci!D20,8,1)="S"),VLOOKUP( $B114, T_Aop[], 6, 1),A1)</f>
        <v xml:space="preserve">  VIII NEGATIVE EFFECTS OF FINANCIAL ASSETS HELD AT THE FAIR VALUE THROUGH OTHER COMPREHENSIVE INCOME</v>
      </c>
      <c r="E114" s="621"/>
      <c r="F114" s="621"/>
      <c r="G114" s="621"/>
      <c r="H114" s="622"/>
      <c r="I114" s="170">
        <f>IF(AND([0]!Godina=2022,MID(Osnovni_podaci!D20,3,1)="H",Osnovni_podaci!L24=3,Osnovni_podaci!G24=0,MID(Osnovni_podaci!D20,3,1)="H",MID(Osnovni_podaci!D20,8,1)="S"),VLOOKUP( $B114, T_Aop[], 4, 1),A1)</f>
        <v>123</v>
      </c>
      <c r="J114" s="157"/>
      <c r="K114" s="670"/>
      <c r="L114" s="671"/>
      <c r="M114" s="201"/>
      <c r="N114" s="398"/>
      <c r="P114" s="44"/>
    </row>
    <row r="115" spans="2:16" x14ac:dyDescent="0.3">
      <c r="B115" s="15">
        <v>91</v>
      </c>
      <c r="C115" s="359">
        <f>IF(AND([0]!Godina=2022,MID(Osnovni_podaci!D20,3,1)="H",Osnovni_podaci!L24=3,Osnovni_podaci!G24=0,MID(Osnovni_podaci!D20,3,1)="H",MID(Osnovni_podaci!D20,8,1)="S"),VLOOKUP( $B115, T_Aop[], 5, 1),A1)</f>
        <v>34</v>
      </c>
      <c r="D115" s="607" t="str">
        <f>IF(AND([0]!Godina=2022,MID(Osnovni_podaci!D20,3,1)="H",Osnovni_podaci!L24=3,Osnovni_podaci!G24=0,MID(Osnovni_podaci!D20,3,1)="H",MID(Osnovni_podaci!D20,8,1)="S"),VLOOKUP( $B115, T_Aop[], 6, 1),A1)</f>
        <v xml:space="preserve">  IX RETAINED EARNINGS (125 to 127)</v>
      </c>
      <c r="E115" s="608"/>
      <c r="F115" s="608"/>
      <c r="G115" s="608"/>
      <c r="H115" s="609"/>
      <c r="I115" s="171">
        <f>IF(AND([0]!Godina=2022,MID(Osnovni_podaci!D20,3,1)="H",Osnovni_podaci!L24=3,Osnovni_podaci!G24=0,MID(Osnovni_podaci!D20,3,1)="H",MID(Osnovni_podaci!D20,8,1)="S"),VLOOKUP( $B115, T_Aop[], 4, 1),A1)</f>
        <v>124</v>
      </c>
      <c r="J115" s="155"/>
      <c r="K115" s="672"/>
      <c r="L115" s="673"/>
      <c r="M115" s="50">
        <f>SUBTOTAL( 9, M116:M118)</f>
        <v>454948</v>
      </c>
      <c r="N115" s="240">
        <f>SUBTOTAL( 9, N116:N118)</f>
        <v>733165</v>
      </c>
      <c r="P115" s="44"/>
    </row>
    <row r="116" spans="2:16" ht="12" customHeight="1" x14ac:dyDescent="0.3">
      <c r="B116" s="15">
        <v>92</v>
      </c>
      <c r="C116" s="358" t="str">
        <f>IF(AND([0]!Godina=2022,MID(Osnovni_podaci!D20,3,1)="H",Osnovni_podaci!L24=3,Osnovni_podaci!G24=0,MID(Osnovni_podaci!D20,3,1)="H",MID(Osnovni_podaci!D20,8,1)="S"),VLOOKUP( $B116, T_Aop[], 5, 1),A1)</f>
        <v>340 or 342</v>
      </c>
      <c r="D116" s="662" t="str">
        <f>IF(AND([0]!Godina=2022,MID(Osnovni_podaci!D20,3,1)="H",Osnovni_podaci!L24=3,Osnovni_podaci!G24=0,MID(Osnovni_podaci!D20,3,1)="H",MID(Osnovni_podaci!D20,8,1)="S"),VLOOKUP( $B116, T_Aop[], 6, 1),A1)</f>
        <v xml:space="preserve">    1. Profit from previous years</v>
      </c>
      <c r="E116" s="663"/>
      <c r="F116" s="663"/>
      <c r="G116" s="663"/>
      <c r="H116" s="664"/>
      <c r="I116" s="121">
        <f>IF(AND([0]!Godina=2022,MID(Osnovni_podaci!D20,3,1)="H",Osnovni_podaci!L24=3,Osnovni_podaci!G24=0,MID(Osnovni_podaci!D20,3,1)="H",MID(Osnovni_podaci!D20,8,1)="S"),VLOOKUP( $B116, T_Aop[], 4, 1),A1)</f>
        <v>125</v>
      </c>
      <c r="J116" s="157"/>
      <c r="K116" s="670"/>
      <c r="L116" s="671"/>
      <c r="M116" s="197"/>
      <c r="N116" s="395"/>
      <c r="P116" s="44"/>
    </row>
    <row r="117" spans="2:16" ht="12" customHeight="1" x14ac:dyDescent="0.3">
      <c r="B117" s="15">
        <v>93</v>
      </c>
      <c r="C117" s="359" t="str">
        <f>IF(AND([0]!Godina=2022,MID(Osnovni_podaci!D20,3,1)="H",Osnovni_podaci!L24=3,Osnovni_podaci!G24=0,MID(Osnovni_podaci!D20,3,1)="H",MID(Osnovni_podaci!D20,8,1)="S"),VLOOKUP( $B117, T_Aop[], 5, 1),A1)</f>
        <v>341 or 343</v>
      </c>
      <c r="D117" s="665" t="str">
        <f>IF(AND([0]!Godina=2022,MID(Osnovni_podaci!D20,3,1)="H",Osnovni_podaci!L24=3,Osnovni_podaci!G24=0,MID(Osnovni_podaci!D20,3,1)="H",MID(Osnovni_podaci!D20,8,1)="S"),VLOOKUP( $B117, T_Aop[], 6, 1),A1)</f>
        <v xml:space="preserve">    2.  Profit for the financial year</v>
      </c>
      <c r="E117" s="666"/>
      <c r="F117" s="666"/>
      <c r="G117" s="666"/>
      <c r="H117" s="667"/>
      <c r="I117" s="122">
        <f>IF(AND([0]!Godina=2022,MID(Osnovni_podaci!D20,3,1)="H",Osnovni_podaci!L24=3,Osnovni_podaci!G24=0,MID(Osnovni_podaci!D20,3,1)="H",MID(Osnovni_podaci!D20,8,1)="S"),VLOOKUP( $B117, T_Aop[], 4, 1),A1)</f>
        <v>126</v>
      </c>
      <c r="J117" s="155"/>
      <c r="K117" s="672"/>
      <c r="L117" s="673"/>
      <c r="M117" s="195">
        <v>454948</v>
      </c>
      <c r="N117" s="396">
        <v>733165</v>
      </c>
      <c r="P117" s="44"/>
    </row>
    <row r="118" spans="2:16" x14ac:dyDescent="0.3">
      <c r="B118" s="15">
        <v>94</v>
      </c>
      <c r="C118" s="358">
        <f>IF(AND([0]!Godina=2022,MID(Osnovni_podaci!D20,3,1)="H",Osnovni_podaci!L24=3,Osnovni_podaci!G24=0,MID(Osnovni_podaci!D20,3,1)="H",MID(Osnovni_podaci!D20,8,1)="S"),VLOOKUP( $B118, T_Aop[], 5, 1),A1)</f>
        <v>344</v>
      </c>
      <c r="D118" s="604" t="str">
        <f>IF(AND([0]!Godina=2022,MID(Osnovni_podaci!D20,3,1)="H",Osnovni_podaci!L24=3,Osnovni_podaci!G24=0,MID(Osnovni_podaci!D20,3,1)="H",MID(Osnovni_podaci!D20,8,1)="S"),VLOOKUP( $B118, T_Aop[], 6, 1),A1)</f>
        <v xml:space="preserve">    3.  Net income of enterpreneurs</v>
      </c>
      <c r="E118" s="605"/>
      <c r="F118" s="605"/>
      <c r="G118" s="605"/>
      <c r="H118" s="606"/>
      <c r="I118" s="121">
        <f>IF(AND([0]!Godina=2022,MID(Osnovni_podaci!D20,3,1)="H",Osnovni_podaci!L24=3,Osnovni_podaci!G24=0,MID(Osnovni_podaci!D20,3,1)="H",MID(Osnovni_podaci!D20,8,1)="S"),VLOOKUP( $B118, T_Aop[], 4, 1),A1)</f>
        <v>127</v>
      </c>
      <c r="J118" s="157"/>
      <c r="K118" s="670"/>
      <c r="L118" s="671"/>
      <c r="M118" s="197"/>
      <c r="N118" s="395"/>
      <c r="P118" s="44"/>
    </row>
    <row r="119" spans="2:16" x14ac:dyDescent="0.3">
      <c r="B119" s="15">
        <v>95</v>
      </c>
      <c r="C119" s="359" t="str">
        <f>IF(AND([0]!Godina=2022,MID(Osnovni_podaci!D20,3,1)="H",Osnovni_podaci!L24=3,Osnovni_podaci!G24=0,MID(Osnovni_podaci!D20,3,1)="H",MID(Osnovni_podaci!D20,8,1)="S"),VLOOKUP( $B119, T_Aop[], 5, 1),A1)</f>
        <v>35</v>
      </c>
      <c r="D119" s="607" t="str">
        <f>IF(AND([0]!Godina=2022,MID(Osnovni_podaci!D20,3,1)="H",Osnovni_podaci!L24=3,Osnovni_podaci!G24=0,MID(Osnovni_podaci!D20,3,1)="H",MID(Osnovni_podaci!D20,8,1)="S"),VLOOKUP( $B119, T_Aop[], 6, 1),A1)</f>
        <v xml:space="preserve">  X LOSS (129 + 130)</v>
      </c>
      <c r="E119" s="608"/>
      <c r="F119" s="608"/>
      <c r="G119" s="608"/>
      <c r="H119" s="609"/>
      <c r="I119" s="171">
        <f>IF(AND([0]!Godina=2022,MID(Osnovni_podaci!D20,3,1)="H",Osnovni_podaci!L24=3,Osnovni_podaci!G24=0,MID(Osnovni_podaci!D20,3,1)="H",MID(Osnovni_podaci!D20,8,1)="S"),VLOOKUP( $B119, T_Aop[], 4, 1),A1)</f>
        <v>128</v>
      </c>
      <c r="J119" s="155"/>
      <c r="K119" s="672"/>
      <c r="L119" s="673"/>
      <c r="M119" s="50">
        <f>SUBTOTAL( 9, M120:M121)</f>
        <v>0</v>
      </c>
      <c r="N119" s="240">
        <f>SUBTOTAL( 9, N120:N121)</f>
        <v>0</v>
      </c>
      <c r="P119" s="44"/>
    </row>
    <row r="120" spans="2:16" x14ac:dyDescent="0.3">
      <c r="B120" s="15">
        <v>96</v>
      </c>
      <c r="C120" s="358" t="str">
        <f>IF(AND([0]!Godina=2022,MID(Osnovni_podaci!D20,3,1)="H",Osnovni_podaci!L24=3,Osnovni_podaci!G24=0,MID(Osnovni_podaci!D20,3,1)="H",MID(Osnovni_podaci!D20,8,1)="S"),VLOOKUP( $B120, T_Aop[], 5, 1),A1)</f>
        <v>350 or 352</v>
      </c>
      <c r="D120" s="604" t="str">
        <f>IF(AND([0]!Godina=2022,MID(Osnovni_podaci!D20,3,1)="H",Osnovni_podaci!L24=3,Osnovni_podaci!G24=0,MID(Osnovni_podaci!D20,3,1)="H",MID(Osnovni_podaci!D20,8,1)="S"),VLOOKUP( $B120, T_Aop[], 6, 1),A1)</f>
        <v xml:space="preserve">    1. Loss of previous year</v>
      </c>
      <c r="E120" s="605"/>
      <c r="F120" s="605"/>
      <c r="G120" s="605"/>
      <c r="H120" s="606"/>
      <c r="I120" s="121">
        <f>IF(AND([0]!Godina=2022,MID(Osnovni_podaci!D20,3,1)="H",Osnovni_podaci!L24=3,Osnovni_podaci!G24=0,MID(Osnovni_podaci!D20,3,1)="H",MID(Osnovni_podaci!D20,8,1)="S"),VLOOKUP( $B120, T_Aop[], 4, 1),A1)</f>
        <v>129</v>
      </c>
      <c r="J120" s="157"/>
      <c r="K120" s="670"/>
      <c r="L120" s="671"/>
      <c r="M120" s="197"/>
      <c r="N120" s="395"/>
      <c r="P120" s="44"/>
    </row>
    <row r="121" spans="2:16" x14ac:dyDescent="0.3">
      <c r="B121" s="15">
        <v>97</v>
      </c>
      <c r="C121" s="359" t="str">
        <f>IF(AND([0]!Godina=2022,MID(Osnovni_podaci!D20,3,1)="H",Osnovni_podaci!L24=3,Osnovni_podaci!G24=0,MID(Osnovni_podaci!D20,3,1)="H",MID(Osnovni_podaci!D20,8,1)="S"),VLOOKUP( $B121, T_Aop[], 5, 1),A1)</f>
        <v>351 or 353</v>
      </c>
      <c r="D121" s="601" t="str">
        <f>IF(AND([0]!Godina=2022,MID(Osnovni_podaci!D20,3,1)="H",Osnovni_podaci!L24=3,Osnovni_podaci!G24=0,MID(Osnovni_podaci!D20,3,1)="H",MID(Osnovni_podaci!D20,8,1)="S"),VLOOKUP( $B121, T_Aop[], 6, 1),A1)</f>
        <v xml:space="preserve">    1. Loss of current year</v>
      </c>
      <c r="E121" s="602"/>
      <c r="F121" s="602"/>
      <c r="G121" s="602"/>
      <c r="H121" s="603"/>
      <c r="I121" s="122">
        <f>IF(AND([0]!Godina=2022,MID(Osnovni_podaci!D20,3,1)="H",Osnovni_podaci!L24=3,Osnovni_podaci!G24=0,MID(Osnovni_podaci!D20,3,1)="H",MID(Osnovni_podaci!D20,8,1)="S"),VLOOKUP( $B121, T_Aop[], 4, 1),A1)</f>
        <v>130</v>
      </c>
      <c r="J121" s="155"/>
      <c r="K121" s="672"/>
      <c r="L121" s="673"/>
      <c r="M121" s="195"/>
      <c r="N121" s="396"/>
      <c r="P121" s="44"/>
    </row>
    <row r="122" spans="2:16" x14ac:dyDescent="0.3">
      <c r="B122" s="15">
        <v>98</v>
      </c>
      <c r="C122" s="358" t="str">
        <f>IF(AND([0]!Godina=2022,MID(Osnovni_podaci!D20,3,1)="H",Osnovni_podaci!L24=3,Osnovni_podaci!G24=0,MID(Osnovni_podaci!D20,3,1)="H",MID(Osnovni_podaci!D20,8,1)="S"),VLOOKUP( $B122, T_Aop[], 5, 1),A1)</f>
        <v xml:space="preserve"> </v>
      </c>
      <c r="D122" s="626" t="str">
        <f>IF(AND([0]!Godina=2022,MID(Osnovni_podaci!D20,3,1)="H",Osnovni_podaci!L24=3,Osnovni_podaci!G24=0,MID(Osnovni_podaci!D20,3,1)="H",MID(Osnovni_podaci!D20,8,1)="S"),VLOOKUP( $B122, T_Aop[], 6, 1),A1)</f>
        <v xml:space="preserve">  XI STAKES WITHOUT THE CONTROL RIGHT</v>
      </c>
      <c r="E122" s="627"/>
      <c r="F122" s="627"/>
      <c r="G122" s="627"/>
      <c r="H122" s="628"/>
      <c r="I122" s="170">
        <f>IF(AND([0]!Godina=2022,MID(Osnovni_podaci!D20,3,1)="H",Osnovni_podaci!L24=3,Osnovni_podaci!G24=0,MID(Osnovni_podaci!D20,3,1)="H",MID(Osnovni_podaci!D20,8,1)="S"),VLOOKUP( $B122, T_Aop[], 4, 1),A1)</f>
        <v>131</v>
      </c>
      <c r="J122" s="157"/>
      <c r="K122" s="670"/>
      <c r="L122" s="671"/>
      <c r="M122" s="201"/>
      <c r="N122" s="398"/>
      <c r="P122" s="44"/>
    </row>
    <row r="123" spans="2:16" x14ac:dyDescent="0.3">
      <c r="B123" s="15">
        <v>99</v>
      </c>
      <c r="C123" s="359" t="str">
        <f>IF(AND([0]!Godina=2022,MID(Osnovni_podaci!D20,3,1)="H",Osnovni_podaci!L24=3,Osnovni_podaci!G24=0,MID(Osnovni_podaci!D20,3,1)="H",MID(Osnovni_podaci!D20,8,1)="S"),VLOOKUP( $B123, T_Aop[], 5, 1),A1)</f>
        <v xml:space="preserve"> </v>
      </c>
      <c r="D123" s="607" t="str">
        <f>IF(AND([0]!Godina=2022,MID(Osnovni_podaci!D20,3,1)="H",Osnovni_podaci!L24=3,Osnovni_podaci!G24=0,MID(Osnovni_podaci!D20,3,1)="H",MID(Osnovni_podaci!D20,8,1)="S"),VLOOKUP( $B123, T_Aop[], 6, 1),A1)</f>
        <v xml:space="preserve">  B. LONG-TERM PROVISIONS AND LIABILITIES (133 + 137 + 145)</v>
      </c>
      <c r="E123" s="608"/>
      <c r="F123" s="608"/>
      <c r="G123" s="608"/>
      <c r="H123" s="609"/>
      <c r="I123" s="171">
        <f>IF(AND([0]!Godina=2022,MID(Osnovni_podaci!D20,3,1)="H",Osnovni_podaci!L24=3,Osnovni_podaci!G24=0,MID(Osnovni_podaci!D20,3,1)="H",MID(Osnovni_podaci!D20,8,1)="S"),VLOOKUP( $B123, T_Aop[], 4, 1),A1)</f>
        <v>132</v>
      </c>
      <c r="J123" s="155"/>
      <c r="K123" s="672"/>
      <c r="L123" s="673"/>
      <c r="M123" s="388">
        <f>SUBTOTAL( 9, M124:M136)</f>
        <v>0</v>
      </c>
      <c r="N123" s="399">
        <f>SUBTOTAL( 9, N124:N136)</f>
        <v>0</v>
      </c>
      <c r="P123" s="44"/>
    </row>
    <row r="124" spans="2:16" x14ac:dyDescent="0.3">
      <c r="B124" s="15">
        <v>100</v>
      </c>
      <c r="C124" s="358" t="str">
        <f>IF(AND([0]!Godina=2022,MID(Osnovni_podaci!D20,3,1)="H",Osnovni_podaci!L24=3,Osnovni_podaci!G24=0,MID(Osnovni_podaci!D20,3,1)="H",MID(Osnovni_podaci!D20,8,1)="S"),VLOOKUP( $B124, T_Aop[], 5, 1),A1)</f>
        <v>part 40</v>
      </c>
      <c r="D124" s="626" t="str">
        <f>IF(AND([0]!Godina=2022,MID(Osnovni_podaci!D20,3,1)="H",Osnovni_podaci!L24=3,Osnovni_podaci!G24=0,MID(Osnovni_podaci!D20,3,1)="H",MID(Osnovni_podaci!D20,8,1)="S"),VLOOKUP( $B124, T_Aop[], 6, 1),A1)</f>
        <v xml:space="preserve">  I LONG-TERM PROVISIONS (134 to 136)</v>
      </c>
      <c r="E124" s="627"/>
      <c r="F124" s="627"/>
      <c r="G124" s="627"/>
      <c r="H124" s="628"/>
      <c r="I124" s="170">
        <f>IF(AND([0]!Godina=2022,MID(Osnovni_podaci!D20,3,1)="H",Osnovni_podaci!L24=3,Osnovni_podaci!G24=0,MID(Osnovni_podaci!D20,3,1)="H",MID(Osnovni_podaci!D20,8,1)="S"),VLOOKUP( $B124, T_Aop[], 4, 1),A1)</f>
        <v>133</v>
      </c>
      <c r="J124" s="157"/>
      <c r="K124" s="670"/>
      <c r="L124" s="671"/>
      <c r="M124" s="48">
        <f>SUBTOTAL( 9, M125:M127)</f>
        <v>0</v>
      </c>
      <c r="N124" s="400">
        <f>SUBTOTAL( 9, N125:N127)</f>
        <v>0</v>
      </c>
      <c r="P124" s="44"/>
    </row>
    <row r="125" spans="2:16" x14ac:dyDescent="0.3">
      <c r="B125" s="15">
        <v>101</v>
      </c>
      <c r="C125" s="359">
        <f>IF(AND([0]!Godina=2022,MID(Osnovni_podaci!D20,3,1)="H",Osnovni_podaci!L24=3,Osnovni_podaci!G24=0,MID(Osnovni_podaci!D20,3,1)="H",MID(Osnovni_podaci!D20,8,1)="S"),VLOOKUP( $B125, T_Aop[], 5, 1),A1)</f>
        <v>400</v>
      </c>
      <c r="D125" s="601" t="str">
        <f>IF(AND([0]!Godina=2022,MID(Osnovni_podaci!D20,3,1)="H",Osnovni_podaci!L24=3,Osnovni_podaci!G24=0,MID(Osnovni_podaci!D20,3,1)="H",MID(Osnovni_podaci!D20,8,1)="S"),VLOOKUP( $B125, T_Aop[], 6, 1),A1)</f>
        <v xml:space="preserve">    1. For expenses in warranty period</v>
      </c>
      <c r="E125" s="602"/>
      <c r="F125" s="602"/>
      <c r="G125" s="602"/>
      <c r="H125" s="603"/>
      <c r="I125" s="122">
        <f>IF(AND([0]!Godina=2022,MID(Osnovni_podaci!D20,3,1)="H",Osnovni_podaci!L24=3,Osnovni_podaci!G24=0,MID(Osnovni_podaci!D20,3,1)="H",MID(Osnovni_podaci!D20,8,1)="S"),VLOOKUP( $B125, T_Aop[], 4, 1),A1)</f>
        <v>134</v>
      </c>
      <c r="J125" s="155"/>
      <c r="K125" s="672"/>
      <c r="L125" s="673"/>
      <c r="M125" s="195"/>
      <c r="N125" s="396"/>
      <c r="P125" s="44"/>
    </row>
    <row r="126" spans="2:16" x14ac:dyDescent="0.3">
      <c r="B126" s="15">
        <v>102</v>
      </c>
      <c r="C126" s="358">
        <f>IF(AND([0]!Godina=2022,MID(Osnovni_podaci!D20,3,1)="H",Osnovni_podaci!L24=3,Osnovni_podaci!G24=0,MID(Osnovni_podaci!D20,3,1)="H",MID(Osnovni_podaci!D20,8,1)="S"),VLOOKUP( $B126, T_Aop[], 5, 1),A1)</f>
        <v>404</v>
      </c>
      <c r="D126" s="604" t="str">
        <f>IF(AND([0]!Godina=2022,MID(Osnovni_podaci!D20,3,1)="H",Osnovni_podaci!L24=3,Osnovni_podaci!G24=0,MID(Osnovni_podaci!D20,3,1)="H",MID(Osnovni_podaci!D20,8,1)="S"),VLOOKUP( $B126, T_Aop[], 6, 1),A1)</f>
        <v xml:space="preserve">    2. For employees wages and benefits</v>
      </c>
      <c r="E126" s="605"/>
      <c r="F126" s="605"/>
      <c r="G126" s="605"/>
      <c r="H126" s="606"/>
      <c r="I126" s="121">
        <f>IF(AND([0]!Godina=2022,MID(Osnovni_podaci!D20,3,1)="H",Osnovni_podaci!L24=3,Osnovni_podaci!G24=0,MID(Osnovni_podaci!D20,3,1)="H",MID(Osnovni_podaci!D20,8,1)="S"),VLOOKUP( $B126, T_Aop[], 4, 1),A1)</f>
        <v>135</v>
      </c>
      <c r="J126" s="157"/>
      <c r="K126" s="670"/>
      <c r="L126" s="671"/>
      <c r="M126" s="197"/>
      <c r="N126" s="395"/>
      <c r="P126" s="44"/>
    </row>
    <row r="127" spans="2:16" x14ac:dyDescent="0.3">
      <c r="B127" s="15">
        <v>103</v>
      </c>
      <c r="C127" s="359" t="str">
        <f>IF(AND([0]!Godina=2022,MID(Osnovni_podaci!D20,3,1)="H",Osnovni_podaci!L24=3,Osnovni_podaci!G24=0,MID(Osnovni_podaci!D20,3,1)="H",MID(Osnovni_podaci!D20,8,1)="S"),VLOOKUP( $B127, T_Aop[], 5, 1),A1)</f>
        <v>401, 402, 403, part 409</v>
      </c>
      <c r="D127" s="601" t="str">
        <f>IF(AND([0]!Godina=2022,MID(Osnovni_podaci!D20,3,1)="H",Osnovni_podaci!L24=3,Osnovni_podaci!G24=0,MID(Osnovni_podaci!D20,3,1)="H",MID(Osnovni_podaci!D20,8,1)="S"),VLOOKUP( $B127, T_Aop[], 6, 1),A1)</f>
        <v xml:space="preserve">    3. Other long-term provisions</v>
      </c>
      <c r="E127" s="602"/>
      <c r="F127" s="602"/>
      <c r="G127" s="602"/>
      <c r="H127" s="603"/>
      <c r="I127" s="122">
        <f>IF(AND([0]!Godina=2022,MID(Osnovni_podaci!D20,3,1)="H",Osnovni_podaci!L24=3,Osnovni_podaci!G24=0,MID(Osnovni_podaci!D20,3,1)="H",MID(Osnovni_podaci!D20,8,1)="S"),VLOOKUP( $B127, T_Aop[], 4, 1),A1)</f>
        <v>136</v>
      </c>
      <c r="J127" s="155"/>
      <c r="K127" s="672"/>
      <c r="L127" s="673"/>
      <c r="M127" s="195"/>
      <c r="N127" s="396"/>
      <c r="P127" s="44"/>
    </row>
    <row r="128" spans="2:16" x14ac:dyDescent="0.3">
      <c r="B128" s="15">
        <v>104</v>
      </c>
      <c r="C128" s="358" t="str">
        <f>IF(AND([0]!Godina=2022,MID(Osnovni_podaci!D20,3,1)="H",Osnovni_podaci!L24=3,Osnovni_podaci!G24=0,MID(Osnovni_podaci!D20,3,1)="H",MID(Osnovni_podaci!D20,8,1)="S"),VLOOKUP( $B128, T_Aop[], 5, 1),A1)</f>
        <v xml:space="preserve"> </v>
      </c>
      <c r="D128" s="626" t="str">
        <f>IF(AND([0]!Godina=2022,MID(Osnovni_podaci!D20,3,1)="H",Osnovni_podaci!L24=3,Osnovni_podaci!G24=0,MID(Osnovni_podaci!D20,3,1)="H",MID(Osnovni_podaci!D20,8,1)="S"),VLOOKUP( $B128, T_Aop[], 6, 1),A1)</f>
        <v xml:space="preserve">  II LONG-TERM LIABILITIES (138 to 144)</v>
      </c>
      <c r="E128" s="627"/>
      <c r="F128" s="627"/>
      <c r="G128" s="627"/>
      <c r="H128" s="628"/>
      <c r="I128" s="170">
        <f>IF(AND([0]!Godina=2022,MID(Osnovni_podaci!D20,3,1)="H",Osnovni_podaci!L24=3,Osnovni_podaci!G24=0,MID(Osnovni_podaci!D20,3,1)="H",MID(Osnovni_podaci!D20,8,1)="S"),VLOOKUP( $B128, T_Aop[], 4, 1),A1)</f>
        <v>137</v>
      </c>
      <c r="J128" s="157"/>
      <c r="K128" s="670"/>
      <c r="L128" s="671"/>
      <c r="M128" s="48">
        <f>SUBTOTAL( 9, M129:M135)</f>
        <v>0</v>
      </c>
      <c r="N128" s="400">
        <f>SUBTOTAL( 9, N129:N135)</f>
        <v>0</v>
      </c>
      <c r="P128" s="44"/>
    </row>
    <row r="129" spans="2:16" x14ac:dyDescent="0.3">
      <c r="B129" s="15">
        <v>105</v>
      </c>
      <c r="C129" s="359">
        <f>IF(AND([0]!Godina=2022,MID(Osnovni_podaci!D20,3,1)="H",Osnovni_podaci!L24=3,Osnovni_podaci!G24=0,MID(Osnovni_podaci!D20,3,1)="H",MID(Osnovni_podaci!D20,8,1)="S"),VLOOKUP( $B129, T_Aop[], 5, 1),A1)</f>
        <v>411</v>
      </c>
      <c r="D129" s="601" t="str">
        <f>IF(AND([0]!Godina=2022,MID(Osnovni_podaci!D20,3,1)="H",Osnovni_podaci!L24=3,Osnovni_podaci!G24=0,MID(Osnovni_podaci!D20,3,1)="H",MID(Osnovni_podaci!D20,8,1)="S"),VLOOKUP( $B129, T_Aop[], 6, 1),A1)</f>
        <v xml:space="preserve">    1. Liabilities toward related legal entities</v>
      </c>
      <c r="E129" s="602"/>
      <c r="F129" s="602"/>
      <c r="G129" s="602"/>
      <c r="H129" s="603"/>
      <c r="I129" s="122">
        <f>IF(AND([0]!Godina=2022,MID(Osnovni_podaci!D20,3,1)="H",Osnovni_podaci!L24=3,Osnovni_podaci!G24=0,MID(Osnovni_podaci!D20,3,1)="H",MID(Osnovni_podaci!D20,8,1)="S"),VLOOKUP( $B129, T_Aop[], 4, 1),A1)</f>
        <v>138</v>
      </c>
      <c r="J129" s="155"/>
      <c r="K129" s="672"/>
      <c r="L129" s="673"/>
      <c r="M129" s="195"/>
      <c r="N129" s="396"/>
      <c r="P129" s="44"/>
    </row>
    <row r="130" spans="2:16" x14ac:dyDescent="0.3">
      <c r="B130" s="15">
        <v>106</v>
      </c>
      <c r="C130" s="358">
        <f>IF(AND([0]!Godina=2022,MID(Osnovni_podaci!D20,3,1)="H",Osnovni_podaci!L24=3,Osnovni_podaci!G24=0,MID(Osnovni_podaci!D20,3,1)="H",MID(Osnovni_podaci!D20,8,1)="S"),VLOOKUP( $B130, T_Aop[], 5, 1),A1)</f>
        <v>413</v>
      </c>
      <c r="D130" s="604" t="str">
        <f>IF(AND([0]!Godina=2022,MID(Osnovni_podaci!D20,3,1)="H",Osnovni_podaci!L24=3,Osnovni_podaci!G24=0,MID(Osnovni_podaci!D20,3,1)="H",MID(Osnovni_podaci!D20,8,1)="S"),VLOOKUP( $B130, T_Aop[], 6, 1),A1)</f>
        <v xml:space="preserve">    2. Domestic long-term debt (borrowings)</v>
      </c>
      <c r="E130" s="605"/>
      <c r="F130" s="605"/>
      <c r="G130" s="605"/>
      <c r="H130" s="606"/>
      <c r="I130" s="121">
        <f>IF(AND([0]!Godina=2022,MID(Osnovni_podaci!D20,3,1)="H",Osnovni_podaci!L24=3,Osnovni_podaci!G24=0,MID(Osnovni_podaci!D20,3,1)="H",MID(Osnovni_podaci!D20,8,1)="S"),VLOOKUP( $B130, T_Aop[], 4, 1),A1)</f>
        <v>139</v>
      </c>
      <c r="J130" s="157"/>
      <c r="K130" s="670"/>
      <c r="L130" s="671"/>
      <c r="M130" s="197"/>
      <c r="N130" s="395"/>
      <c r="P130" s="44"/>
    </row>
    <row r="131" spans="2:16" x14ac:dyDescent="0.3">
      <c r="B131" s="15">
        <v>107</v>
      </c>
      <c r="C131" s="359">
        <f>IF(AND([0]!Godina=2022,MID(Osnovni_podaci!D20,3,1)="H",Osnovni_podaci!L24=3,Osnovni_podaci!G24=0,MID(Osnovni_podaci!D20,3,1)="H",MID(Osnovni_podaci!D20,8,1)="S"),VLOOKUP( $B131, T_Aop[], 5, 1),A1)</f>
        <v>414</v>
      </c>
      <c r="D131" s="601" t="str">
        <f>IF(AND([0]!Godina=2022,MID(Osnovni_podaci!D20,3,1)="H",Osnovni_podaci!L24=3,Osnovni_podaci!G24=0,MID(Osnovni_podaci!D20,3,1)="H",MID(Osnovni_podaci!D20,8,1)="S"),VLOOKUP( $B131, T_Aop[], 6, 1),A1)</f>
        <v xml:space="preserve">    3. Long-term debt (borrowings) abroad</v>
      </c>
      <c r="E131" s="602"/>
      <c r="F131" s="602"/>
      <c r="G131" s="602"/>
      <c r="H131" s="603"/>
      <c r="I131" s="122">
        <f>IF(AND([0]!Godina=2022,MID(Osnovni_podaci!D20,3,1)="H",Osnovni_podaci!L24=3,Osnovni_podaci!G24=0,MID(Osnovni_podaci!D20,3,1)="H",MID(Osnovni_podaci!D20,8,1)="S"),VLOOKUP( $B131, T_Aop[], 4, 1),A1)</f>
        <v>140</v>
      </c>
      <c r="J131" s="155"/>
      <c r="K131" s="672"/>
      <c r="L131" s="673"/>
      <c r="M131" s="195"/>
      <c r="N131" s="196"/>
      <c r="P131" s="44"/>
    </row>
    <row r="132" spans="2:16" x14ac:dyDescent="0.3">
      <c r="B132" s="15">
        <v>108</v>
      </c>
      <c r="C132" s="358">
        <f>IF(AND([0]!Godina=2022,MID(Osnovni_podaci!D20,3,1)="H",Osnovni_podaci!L24=3,Osnovni_podaci!G24=0,MID(Osnovni_podaci!D20,3,1)="H",MID(Osnovni_podaci!D20,8,1)="S"),VLOOKUP( $B132, T_Aop[], 5, 1),A1)</f>
        <v>412</v>
      </c>
      <c r="D132" s="604" t="str">
        <f>IF(AND([0]!Godina=2022,MID(Osnovni_podaci!D20,3,1)="H",Osnovni_podaci!L24=3,Osnovni_podaci!G24=0,MID(Osnovni_podaci!D20,3,1)="H",MID(Osnovni_podaci!D20,8,1)="S"),VLOOKUP( $B132, T_Aop[], 6, 1),A1)</f>
        <v xml:space="preserve">    4. Long- term securities payable</v>
      </c>
      <c r="E132" s="605"/>
      <c r="F132" s="605"/>
      <c r="G132" s="605"/>
      <c r="H132" s="606"/>
      <c r="I132" s="121">
        <f>IF(AND([0]!Godina=2022,MID(Osnovni_podaci!D20,3,1)="H",Osnovni_podaci!L24=3,Osnovni_podaci!G24=0,MID(Osnovni_podaci!D20,3,1)="H",MID(Osnovni_podaci!D20,8,1)="S"),VLOOKUP( $B132, T_Aop[], 4, 1),A1)</f>
        <v>141</v>
      </c>
      <c r="J132" s="157"/>
      <c r="K132" s="670"/>
      <c r="L132" s="671"/>
      <c r="M132" s="197"/>
      <c r="N132" s="198"/>
      <c r="P132" s="44"/>
    </row>
    <row r="133" spans="2:16" x14ac:dyDescent="0.3">
      <c r="B133" s="15">
        <v>109</v>
      </c>
      <c r="C133" s="359" t="str">
        <f>IF(AND([0]!Godina=2022,MID(Osnovni_podaci!D20,3,1)="H",Osnovni_podaci!L24=3,Osnovni_podaci!G24=0,MID(Osnovni_podaci!D20,3,1)="H",MID(Osnovni_podaci!D20,8,1)="S"),VLOOKUP( $B133, T_Aop[], 5, 1),A1)</f>
        <v>415, 416</v>
      </c>
      <c r="D133" s="601" t="str">
        <f>IF(AND([0]!Godina=2022,MID(Osnovni_podaci!D20,3,1)="H",Osnovni_podaci!L24=3,Osnovni_podaci!G24=0,MID(Osnovni_podaci!D20,3,1)="H",MID(Osnovni_podaci!D20,8,1)="S"),VLOOKUP( $B133, T_Aop[], 6, 1),A1)</f>
        <v xml:space="preserve">    5. Long-term liabilities from financial leasing</v>
      </c>
      <c r="E133" s="602"/>
      <c r="F133" s="602"/>
      <c r="G133" s="602"/>
      <c r="H133" s="603"/>
      <c r="I133" s="122">
        <f>IF(AND([0]!Godina=2022,MID(Osnovni_podaci!D20,3,1)="H",Osnovni_podaci!L24=3,Osnovni_podaci!G24=0,MID(Osnovni_podaci!D20,3,1)="H",MID(Osnovni_podaci!D20,8,1)="S"),VLOOKUP( $B133, T_Aop[], 4, 1),A1)</f>
        <v>142</v>
      </c>
      <c r="J133" s="155"/>
      <c r="K133" s="672"/>
      <c r="L133" s="673"/>
      <c r="M133" s="195"/>
      <c r="N133" s="196"/>
      <c r="P133" s="44"/>
    </row>
    <row r="134" spans="2:16" x14ac:dyDescent="0.3">
      <c r="B134" s="15">
        <v>110</v>
      </c>
      <c r="C134" s="358">
        <f>IF(AND([0]!Godina=2022,MID(Osnovni_podaci!D20,3,1)="H",Osnovni_podaci!L24=3,Osnovni_podaci!G24=0,MID(Osnovni_podaci!D20,3,1)="H",MID(Osnovni_podaci!D20,8,1)="S"),VLOOKUP( $B134, T_Aop[], 5, 1),A1)</f>
        <v>418</v>
      </c>
      <c r="D134" s="604" t="str">
        <f>IF(AND([0]!Godina=2022,MID(Osnovni_podaci!D20,3,1)="H",Osnovni_podaci!L24=3,Osnovni_podaci!G24=0,MID(Osnovni_podaci!D20,3,1)="H",MID(Osnovni_podaci!D20,8,1)="S"),VLOOKUP( $B134, T_Aop[], 6, 1),A1)</f>
        <v xml:space="preserve">    6. Other long-term liabilities at amortised value</v>
      </c>
      <c r="E134" s="605"/>
      <c r="F134" s="605"/>
      <c r="G134" s="605"/>
      <c r="H134" s="606"/>
      <c r="I134" s="121">
        <f>IF(AND([0]!Godina=2022,MID(Osnovni_podaci!D20,3,1)="H",Osnovni_podaci!L24=3,Osnovni_podaci!G24=0,MID(Osnovni_podaci!D20,3,1)="H",MID(Osnovni_podaci!D20,8,1)="S"),VLOOKUP( $B134, T_Aop[], 4, 1),A1)</f>
        <v>143</v>
      </c>
      <c r="J134" s="157"/>
      <c r="K134" s="670"/>
      <c r="L134" s="671"/>
      <c r="M134" s="197"/>
      <c r="N134" s="198"/>
      <c r="P134" s="44"/>
    </row>
    <row r="135" spans="2:16" x14ac:dyDescent="0.3">
      <c r="B135" s="15">
        <v>111</v>
      </c>
      <c r="C135" s="359" t="str">
        <f>IF(AND([0]!Godina=2022,MID(Osnovni_podaci!D20,3,1)="H",Osnovni_podaci!L24=3,Osnovni_podaci!G24=0,MID(Osnovni_podaci!D20,3,1)="H",MID(Osnovni_podaci!D20,8,1)="S"),VLOOKUP( $B135, T_Aop[], 5, 1),A1)</f>
        <v>part 409, 410, 419</v>
      </c>
      <c r="D135" s="601" t="str">
        <f>IF(AND([0]!Godina=2022,MID(Osnovni_podaci!D20,3,1)="H",Osnovni_podaci!L24=3,Osnovni_podaci!G24=0,MID(Osnovni_podaci!D20,3,1)="H",MID(Osnovni_podaci!D20,8,1)="S"),VLOOKUP( $B135, T_Aop[], 6, 1),A1)</f>
        <v xml:space="preserve">    7. Other long-term liabilities, including accruals</v>
      </c>
      <c r="E135" s="602"/>
      <c r="F135" s="602"/>
      <c r="G135" s="602"/>
      <c r="H135" s="603"/>
      <c r="I135" s="122">
        <f>IF(AND([0]!Godina=2022,MID(Osnovni_podaci!D20,3,1)="H",Osnovni_podaci!L24=3,Osnovni_podaci!G24=0,MID(Osnovni_podaci!D20,3,1)="H",MID(Osnovni_podaci!D20,8,1)="S"),VLOOKUP( $B135, T_Aop[], 4, 1),A1)</f>
        <v>144</v>
      </c>
      <c r="J135" s="155"/>
      <c r="K135" s="672"/>
      <c r="L135" s="673"/>
      <c r="M135" s="195"/>
      <c r="N135" s="196"/>
      <c r="P135" s="44"/>
    </row>
    <row r="136" spans="2:16" x14ac:dyDescent="0.3">
      <c r="B136" s="15">
        <v>112</v>
      </c>
      <c r="C136" s="358">
        <f>IF(AND([0]!Godina=2022,MID(Osnovni_podaci!D20,3,1)="H",Osnovni_podaci!L24=3,Osnovni_podaci!G24=0,MID(Osnovni_podaci!D20,3,1)="H",MID(Osnovni_podaci!D20,8,1)="S"),VLOOKUP( $B136, T_Aop[], 5, 1),A1)</f>
        <v>408</v>
      </c>
      <c r="D136" s="626" t="str">
        <f>IF(AND([0]!Godina=2022,MID(Osnovni_podaci!D20,3,1)="H",Osnovni_podaci!L24=3,Osnovni_podaci!G24=0,MID(Osnovni_podaci!D20,3,1)="H",MID(Osnovni_podaci!D20,8,1)="S"),VLOOKUP( $B136, T_Aop[], 6, 1),A1)</f>
        <v xml:space="preserve">  III ACCURED REVENUES AND RECEIVED DONATIONS</v>
      </c>
      <c r="E136" s="627"/>
      <c r="F136" s="627"/>
      <c r="G136" s="627"/>
      <c r="H136" s="628"/>
      <c r="I136" s="170">
        <f>IF(AND([0]!Godina=2022,MID(Osnovni_podaci!D20,3,1)="H",Osnovni_podaci!L24=3,Osnovni_podaci!G24=0,MID(Osnovni_podaci!D20,3,1)="H",MID(Osnovni_podaci!D20,8,1)="S"),VLOOKUP( $B136, T_Aop[], 4, 1),A1)</f>
        <v>145</v>
      </c>
      <c r="J136" s="157"/>
      <c r="K136" s="670"/>
      <c r="L136" s="671"/>
      <c r="M136" s="201"/>
      <c r="N136" s="202"/>
      <c r="P136" s="44"/>
    </row>
    <row r="137" spans="2:16" x14ac:dyDescent="0.3">
      <c r="B137" s="15">
        <v>113</v>
      </c>
      <c r="C137" s="359">
        <f>IF(AND([0]!Godina=2022,MID(Osnovni_podaci!D20,3,1)="H",Osnovni_podaci!L24=3,Osnovni_podaci!G24=0,MID(Osnovni_podaci!D20,3,1)="H",MID(Osnovni_podaci!D20,8,1)="S"),VLOOKUP( $B137, T_Aop[], 5, 1),A1)</f>
        <v>407</v>
      </c>
      <c r="D137" s="607" t="str">
        <f>IF(AND([0]!Godina=2022,MID(Osnovni_podaci!D20,3,1)="H",Osnovni_podaci!L24=3,Osnovni_podaci!G24=0,MID(Osnovni_podaci!D20,3,1)="H",MID(Osnovni_podaci!D20,8,1)="S"),VLOOKUP( $B137, T_Aop[], 6, 1),A1)</f>
        <v xml:space="preserve">  C. DEFERRED TAX LIABILITIES</v>
      </c>
      <c r="E137" s="608"/>
      <c r="F137" s="608"/>
      <c r="G137" s="608"/>
      <c r="H137" s="609"/>
      <c r="I137" s="171">
        <f>IF(AND([0]!Godina=2022,MID(Osnovni_podaci!D20,3,1)="H",Osnovni_podaci!L24=3,Osnovni_podaci!G24=0,MID(Osnovni_podaci!D20,3,1)="H",MID(Osnovni_podaci!D20,8,1)="S"),VLOOKUP( $B137, T_Aop[], 4, 1),A1)</f>
        <v>146</v>
      </c>
      <c r="J137" s="155"/>
      <c r="K137" s="672"/>
      <c r="L137" s="673"/>
      <c r="M137" s="199"/>
      <c r="N137" s="200"/>
      <c r="P137" s="44"/>
    </row>
    <row r="138" spans="2:16" ht="23.25" customHeight="1" x14ac:dyDescent="0.3">
      <c r="B138" s="15">
        <v>114</v>
      </c>
      <c r="C138" s="358" t="str">
        <f>IF(AND([0]!Godina=2022,MID(Osnovni_podaci!D20,3,1)="H",Osnovni_podaci!L24=3,Osnovni_podaci!G24=0,MID(Osnovni_podaci!D20,3,1)="H",MID(Osnovni_podaci!D20,8,1)="S"),VLOOKUP( $B138, T_Aop[], 5, 1),A1)</f>
        <v>42 to 49</v>
      </c>
      <c r="D138" s="626" t="str">
        <f>IF(AND([0]!Godina=2022,MID(Osnovni_podaci!D20,3,1)="H",Osnovni_podaci!L24=3,Osnovni_podaci!G24=0,MID(Osnovni_podaci!D20,3,1)="H",MID(Osnovni_podaci!D20,8,1)="S"),VLOOKUP( $B138, T_Aop[], 6, 1),A1)</f>
        <v xml:space="preserve">  II - SHORT-TERM LIABILITIES AND PROVISIONS (148 + 155 + 161 + 162 + 163 + 164 + 165 + 166 + 167 + 168)</v>
      </c>
      <c r="E138" s="627"/>
      <c r="F138" s="627"/>
      <c r="G138" s="627"/>
      <c r="H138" s="628"/>
      <c r="I138" s="170">
        <f>IF(AND([0]!Godina=2022,MID(Osnovni_podaci!D20,3,1)="H",Osnovni_podaci!L24=3,Osnovni_podaci!G24=0,MID(Osnovni_podaci!D20,3,1)="H",MID(Osnovni_podaci!D20,8,1)="S"),VLOOKUP( $B138, T_Aop[], 4, 1),A1)</f>
        <v>147</v>
      </c>
      <c r="J138" s="157">
        <v>9</v>
      </c>
      <c r="K138" s="670"/>
      <c r="L138" s="671"/>
      <c r="M138" s="48">
        <f>SUBTOTAL( 9, M139:M159)</f>
        <v>696170</v>
      </c>
      <c r="N138" s="49">
        <f>SUBTOTAL( 9, N139:N159)</f>
        <v>1657257</v>
      </c>
      <c r="P138" s="44"/>
    </row>
    <row r="139" spans="2:16" x14ac:dyDescent="0.3">
      <c r="B139" s="15">
        <v>115</v>
      </c>
      <c r="C139" s="359">
        <f>IF(AND([0]!Godina=2022,MID(Osnovni_podaci!D20,3,1)="H",Osnovni_podaci!L24=3,Osnovni_podaci!G24=0,MID(Osnovni_podaci!D20,3,1)="H",MID(Osnovni_podaci!D20,8,1)="S"),VLOOKUP( $B139, T_Aop[], 5, 1),A1)</f>
        <v>42</v>
      </c>
      <c r="D139" s="601" t="str">
        <f>IF(AND([0]!Godina=2022,MID(Osnovni_podaci!D20,3,1)="H",Osnovni_podaci!L24=3,Osnovni_podaci!G24=0,MID(Osnovni_podaci!D20,3,1)="H",MID(Osnovni_podaci!D20,8,1)="S"),VLOOKUP( $B139, T_Aop[], 6, 1),A1)</f>
        <v xml:space="preserve">    1. Short-term financial liabilities (149 to 154)</v>
      </c>
      <c r="E139" s="602"/>
      <c r="F139" s="602"/>
      <c r="G139" s="602"/>
      <c r="H139" s="603"/>
      <c r="I139" s="122">
        <f>IF(AND([0]!Godina=2022,MID(Osnovni_podaci!D20,3,1)="H",Osnovni_podaci!L24=3,Osnovni_podaci!G24=0,MID(Osnovni_podaci!D20,3,1)="H",MID(Osnovni_podaci!D20,8,1)="S"),VLOOKUP( $B139, T_Aop[], 4, 1),A1)</f>
        <v>148</v>
      </c>
      <c r="J139" s="155"/>
      <c r="K139" s="672"/>
      <c r="L139" s="673"/>
      <c r="M139" s="50">
        <f>SUBTOTAL( 9, M140:M145)</f>
        <v>0</v>
      </c>
      <c r="N139" s="51">
        <f>SUBTOTAL( 9, N140:N145)</f>
        <v>0</v>
      </c>
      <c r="P139" s="44"/>
    </row>
    <row r="140" spans="2:16" x14ac:dyDescent="0.3">
      <c r="B140" s="15">
        <v>116</v>
      </c>
      <c r="C140" s="358">
        <f>IF(AND([0]!Godina=2022,MID(Osnovni_podaci!D20,3,1)="H",Osnovni_podaci!L24=3,Osnovni_podaci!G24=0,MID(Osnovni_podaci!D20,3,1)="H",MID(Osnovni_podaci!D20,8,1)="S"),VLOOKUP( $B140, T_Aop[], 5, 1),A1)</f>
        <v>420</v>
      </c>
      <c r="D140" s="604" t="str">
        <f>IF(AND([0]!Godina=2022,MID(Osnovni_podaci!D20,3,1)="H",Osnovni_podaci!L24=3,Osnovni_podaci!G24=0,MID(Osnovni_podaci!D20,3,1)="H",MID(Osnovni_podaci!D20,8,1)="S"),VLOOKUP( $B140, T_Aop[], 6, 1),A1)</f>
        <v xml:space="preserve">      1.1. Short-term liabilities toward related legal entities</v>
      </c>
      <c r="E140" s="605"/>
      <c r="F140" s="605"/>
      <c r="G140" s="605"/>
      <c r="H140" s="606"/>
      <c r="I140" s="121">
        <f>IF(AND([0]!Godina=2022,MID(Osnovni_podaci!D20,3,1)="H",Osnovni_podaci!L24=3,Osnovni_podaci!G24=0,MID(Osnovni_podaci!D20,3,1)="H",MID(Osnovni_podaci!D20,8,1)="S"),VLOOKUP( $B140, T_Aop[], 4, 1),A1)</f>
        <v>149</v>
      </c>
      <c r="J140" s="157"/>
      <c r="K140" s="670"/>
      <c r="L140" s="671"/>
      <c r="M140" s="197"/>
      <c r="N140" s="198"/>
      <c r="P140" s="44"/>
    </row>
    <row r="141" spans="2:16" x14ac:dyDescent="0.3">
      <c r="B141" s="15">
        <v>117</v>
      </c>
      <c r="C141" s="359" t="str">
        <f>IF(AND([0]!Godina=2022,MID(Osnovni_podaci!D20,3,1)="H",Osnovni_podaci!L24=3,Osnovni_podaci!G24=0,MID(Osnovni_podaci!D20,3,1)="H",MID(Osnovni_podaci!D20,8,1)="S"),VLOOKUP( $B141, T_Aop[], 5, 1),A1)</f>
        <v>421 to 424</v>
      </c>
      <c r="D141" s="601" t="str">
        <f>IF(AND([0]!Godina=2022,MID(Osnovni_podaci!D20,3,1)="H",Osnovni_podaci!L24=3,Osnovni_podaci!G24=0,MID(Osnovni_podaci!D20,3,1)="H",MID(Osnovni_podaci!D20,8,1)="S"),VLOOKUP( $B141, T_Aop[], 6, 1),A1)</f>
        <v xml:space="preserve">      1.2. Short-term borrowings and liabilities from short-term securities</v>
      </c>
      <c r="E141" s="602"/>
      <c r="F141" s="602"/>
      <c r="G141" s="602"/>
      <c r="H141" s="603"/>
      <c r="I141" s="122">
        <f>IF(AND([0]!Godina=2022,MID(Osnovni_podaci!D20,3,1)="H",Osnovni_podaci!L24=3,Osnovni_podaci!G24=0,MID(Osnovni_podaci!D20,3,1)="H",MID(Osnovni_podaci!D20,8,1)="S"),VLOOKUP( $B141, T_Aop[], 4, 1),A1)</f>
        <v>150</v>
      </c>
      <c r="J141" s="155"/>
      <c r="K141" s="672"/>
      <c r="L141" s="673"/>
      <c r="M141" s="195"/>
      <c r="N141" s="196"/>
      <c r="P141" s="44"/>
    </row>
    <row r="142" spans="2:16" x14ac:dyDescent="0.3">
      <c r="B142" s="15">
        <v>118</v>
      </c>
      <c r="C142" s="358" t="str">
        <f>IF(AND([0]!Godina=2022,MID(Osnovni_podaci!D20,3,1)="H",Osnovni_podaci!L24=3,Osnovni_podaci!G24=0,MID(Osnovni_podaci!D20,3,1)="H",MID(Osnovni_podaci!D20,8,1)="S"),VLOOKUP( $B142, T_Aop[], 5, 1),A1)</f>
        <v>425 and 426</v>
      </c>
      <c r="D142" s="604" t="str">
        <f>IF(AND([0]!Godina=2022,MID(Osnovni_podaci!D20,3,1)="H",Osnovni_podaci!L24=3,Osnovni_podaci!G24=0,MID(Osnovni_podaci!D20,3,1)="H",MID(Osnovni_podaci!D20,8,1)="S"),VLOOKUP( $B142, T_Aop[], 6, 1),A1)</f>
        <v xml:space="preserve">      1.3. Short-term liabilities from financial leasing</v>
      </c>
      <c r="E142" s="605"/>
      <c r="F142" s="605"/>
      <c r="G142" s="605"/>
      <c r="H142" s="606"/>
      <c r="I142" s="121">
        <f>IF(AND([0]!Godina=2022,MID(Osnovni_podaci!D20,3,1)="H",Osnovni_podaci!L24=3,Osnovni_podaci!G24=0,MID(Osnovni_podaci!D20,3,1)="H",MID(Osnovni_podaci!D20,8,1)="S"),VLOOKUP( $B142, T_Aop[], 4, 1),A1)</f>
        <v>151</v>
      </c>
      <c r="J142" s="157"/>
      <c r="K142" s="670"/>
      <c r="L142" s="671"/>
      <c r="M142" s="197"/>
      <c r="N142" s="198"/>
      <c r="P142" s="44"/>
    </row>
    <row r="143" spans="2:16" x14ac:dyDescent="0.3">
      <c r="B143" s="15">
        <v>119</v>
      </c>
      <c r="C143" s="359">
        <f>IF(AND([0]!Godina=2022,MID(Osnovni_podaci!D20,3,1)="H",Osnovni_podaci!L24=3,Osnovni_podaci!G24=0,MID(Osnovni_podaci!D20,3,1)="H",MID(Osnovni_podaci!D20,8,1)="S"),VLOOKUP( $B143, T_Aop[], 5, 1),A1)</f>
        <v>427</v>
      </c>
      <c r="D143" s="601" t="str">
        <f>IF(AND([0]!Godina=2022,MID(Osnovni_podaci!D20,3,1)="H",Osnovni_podaci!L24=3,Osnovni_podaci!G24=0,MID(Osnovni_podaci!D20,3,1)="H",MID(Osnovni_podaci!D20,8,1)="S"),VLOOKUP( $B143, T_Aop[], 6, 1),A1)</f>
        <v xml:space="preserve">      1.4. Short-term liabilities at fair value through profit and loss</v>
      </c>
      <c r="E143" s="602"/>
      <c r="F143" s="602"/>
      <c r="G143" s="602"/>
      <c r="H143" s="603"/>
      <c r="I143" s="122">
        <f>IF(AND([0]!Godina=2022,MID(Osnovni_podaci!D20,3,1)="H",Osnovni_podaci!L24=3,Osnovni_podaci!G24=0,MID(Osnovni_podaci!D20,3,1)="H",MID(Osnovni_podaci!D20,8,1)="S"),VLOOKUP( $B143, T_Aop[], 4, 1),A1)</f>
        <v>152</v>
      </c>
      <c r="J143" s="155"/>
      <c r="K143" s="672"/>
      <c r="L143" s="673"/>
      <c r="M143" s="195"/>
      <c r="N143" s="196"/>
      <c r="P143" s="44"/>
    </row>
    <row r="144" spans="2:16" x14ac:dyDescent="0.3">
      <c r="B144" s="15">
        <v>120</v>
      </c>
      <c r="C144" s="358">
        <f>IF(AND([0]!Godina=2022,MID(Osnovni_podaci!D20,3,1)="H",Osnovni_podaci!L24=3,Osnovni_podaci!G24=0,MID(Osnovni_podaci!D20,3,1)="H",MID(Osnovni_podaci!D20,8,1)="S"),VLOOKUP( $B144, T_Aop[], 5, 1),A1)</f>
        <v>428</v>
      </c>
      <c r="D144" s="604" t="str">
        <f>IF(AND([0]!Godina=2022,MID(Osnovni_podaci!D20,3,1)="H",Osnovni_podaci!L24=3,Osnovni_podaci!G24=0,MID(Osnovni_podaci!D20,3,1)="H",MID(Osnovni_podaci!D20,8,1)="S"),VLOOKUP( $B144, T_Aop[], 6, 1),A1)</f>
        <v xml:space="preserve">      1.5. Derivative financial liabilities</v>
      </c>
      <c r="E144" s="605"/>
      <c r="F144" s="605"/>
      <c r="G144" s="605"/>
      <c r="H144" s="606"/>
      <c r="I144" s="121">
        <f>IF(AND([0]!Godina=2022,MID(Osnovni_podaci!D20,3,1)="H",Osnovni_podaci!L24=3,Osnovni_podaci!G24=0,MID(Osnovni_podaci!D20,3,1)="H",MID(Osnovni_podaci!D20,8,1)="S"),VLOOKUP( $B144, T_Aop[], 4, 1),A1)</f>
        <v>153</v>
      </c>
      <c r="J144" s="157"/>
      <c r="K144" s="670"/>
      <c r="L144" s="671"/>
      <c r="M144" s="197"/>
      <c r="N144" s="198"/>
      <c r="P144" s="44"/>
    </row>
    <row r="145" spans="2:16" x14ac:dyDescent="0.3">
      <c r="B145" s="15">
        <v>121</v>
      </c>
      <c r="C145" s="359">
        <f>IF(AND([0]!Godina=2022,MID(Osnovni_podaci!D20,3,1)="H",Osnovni_podaci!L24=3,Osnovni_podaci!G24=0,MID(Osnovni_podaci!D20,3,1)="H",MID(Osnovni_podaci!D20,8,1)="S"),VLOOKUP( $B145, T_Aop[], 5, 1),A1)</f>
        <v>429</v>
      </c>
      <c r="D145" s="601" t="str">
        <f>IF(AND([0]!Godina=2022,MID(Osnovni_podaci!D20,3,1)="H",Osnovni_podaci!L24=3,Osnovni_podaci!G24=0,MID(Osnovni_podaci!D20,3,1)="H",MID(Osnovni_podaci!D20,8,1)="S"),VLOOKUP( $B145, T_Aop[], 6, 1),A1)</f>
        <v xml:space="preserve">      1.6. Other short-term financial liabilities at amortised value</v>
      </c>
      <c r="E145" s="602"/>
      <c r="F145" s="602"/>
      <c r="G145" s="602"/>
      <c r="H145" s="603"/>
      <c r="I145" s="122">
        <f>IF(AND([0]!Godina=2022,MID(Osnovni_podaci!D20,3,1)="H",Osnovni_podaci!L24=3,Osnovni_podaci!G24=0,MID(Osnovni_podaci!D20,3,1)="H",MID(Osnovni_podaci!D20,8,1)="S"),VLOOKUP( $B145, T_Aop[], 4, 1),A1)</f>
        <v>154</v>
      </c>
      <c r="J145" s="155"/>
      <c r="K145" s="672"/>
      <c r="L145" s="673"/>
      <c r="M145" s="195"/>
      <c r="N145" s="196"/>
      <c r="P145" s="44"/>
    </row>
    <row r="146" spans="2:16" x14ac:dyDescent="0.3">
      <c r="B146" s="15">
        <v>122</v>
      </c>
      <c r="C146" s="358">
        <f>IF(AND([0]!Godina=2022,MID(Osnovni_podaci!D20,3,1)="H",Osnovni_podaci!L24=3,Osnovni_podaci!G24=0,MID(Osnovni_podaci!D20,3,1)="H",MID(Osnovni_podaci!D20,8,1)="S"),VLOOKUP( $B146, T_Aop[], 5, 1),A1)</f>
        <v>43</v>
      </c>
      <c r="D146" s="604" t="str">
        <f>IF(AND([0]!Godina=2022,MID(Osnovni_podaci!D20,3,1)="H",Osnovni_podaci!L24=3,Osnovni_podaci!G24=0,MID(Osnovni_podaci!D20,3,1)="H",MID(Osnovni_podaci!D20,8,1)="S"),VLOOKUP( $B146, T_Aop[], 6, 1),A1)</f>
        <v xml:space="preserve">    2. Operating liabilities (156 to 160)</v>
      </c>
      <c r="E146" s="605"/>
      <c r="F146" s="605"/>
      <c r="G146" s="605"/>
      <c r="H146" s="606"/>
      <c r="I146" s="121">
        <f>IF(AND([0]!Godina=2022,MID(Osnovni_podaci!D20,3,1)="H",Osnovni_podaci!L24=3,Osnovni_podaci!G24=0,MID(Osnovni_podaci!D20,3,1)="H",MID(Osnovni_podaci!D20,8,1)="S"),VLOOKUP( $B146, T_Aop[], 4, 1),A1)</f>
        <v>155</v>
      </c>
      <c r="J146" s="157"/>
      <c r="K146" s="670"/>
      <c r="L146" s="671"/>
      <c r="M146" s="445">
        <f>SUBTOTAL( 9, M147:M151)</f>
        <v>643753</v>
      </c>
      <c r="N146" s="450">
        <f>SUBTOTAL( 9, N147:N151)</f>
        <v>1515908</v>
      </c>
      <c r="P146" s="44"/>
    </row>
    <row r="147" spans="2:16" x14ac:dyDescent="0.3">
      <c r="B147" s="15">
        <v>123</v>
      </c>
      <c r="C147" s="359" t="str">
        <f>IF(AND([0]!Godina=2022,MID(Osnovni_podaci!D20,3,1)="H",Osnovni_podaci!L24=3,Osnovni_podaci!G24=0,MID(Osnovni_podaci!D20,3,1)="H",MID(Osnovni_podaci!D20,8,1)="S"),VLOOKUP( $B147, T_Aop[], 5, 1),A1)</f>
        <v>430 and 436</v>
      </c>
      <c r="D147" s="601" t="str">
        <f>IF(AND([0]!Godina=2022,MID(Osnovni_podaci!D20,3,1)="H",Osnovni_podaci!L24=3,Osnovni_podaci!G24=0,MID(Osnovni_podaci!D20,3,1)="H",MID(Osnovni_podaci!D20,8,1)="S"),VLOOKUP( $B147, T_Aop[], 6, 1),A1)</f>
        <v xml:space="preserve">      2.1. Prepayments, deposits and bails received</v>
      </c>
      <c r="E147" s="602"/>
      <c r="F147" s="602"/>
      <c r="G147" s="602"/>
      <c r="H147" s="603"/>
      <c r="I147" s="122">
        <f>IF(AND([0]!Godina=2022,MID(Osnovni_podaci!D20,3,1)="H",Osnovni_podaci!L24=3,Osnovni_podaci!G24=0,MID(Osnovni_podaci!D20,3,1)="H",MID(Osnovni_podaci!D20,8,1)="S"),VLOOKUP( $B147, T_Aop[], 4, 1),A1)</f>
        <v>156</v>
      </c>
      <c r="J147" s="155"/>
      <c r="K147" s="672"/>
      <c r="L147" s="673"/>
      <c r="M147" s="195">
        <v>29068</v>
      </c>
      <c r="N147" s="196">
        <v>991</v>
      </c>
      <c r="P147" s="44"/>
    </row>
    <row r="148" spans="2:16" x14ac:dyDescent="0.3">
      <c r="B148" s="15">
        <v>124</v>
      </c>
      <c r="C148" s="358">
        <f>IF(AND([0]!Godina=2022,MID(Osnovni_podaci!D20,3,1)="H",Osnovni_podaci!L24=3,Osnovni_podaci!G24=0,MID(Osnovni_podaci!D20,3,1)="H",MID(Osnovni_podaci!D20,8,1)="S"),VLOOKUP( $B148, T_Aop[], 5, 1),A1)</f>
        <v>431</v>
      </c>
      <c r="D148" s="604" t="str">
        <f>IF(AND([0]!Godina=2022,MID(Osnovni_podaci!D20,3,1)="H",Osnovni_podaci!L24=3,Osnovni_podaci!G24=0,MID(Osnovni_podaci!D20,3,1)="H",MID(Osnovni_podaci!D20,8,1)="S"),VLOOKUP( $B148, T_Aop[], 6, 1),A1)</f>
        <v xml:space="preserve">      2.2. Suppliers-related legal entities</v>
      </c>
      <c r="E148" s="605"/>
      <c r="F148" s="605"/>
      <c r="G148" s="605"/>
      <c r="H148" s="606"/>
      <c r="I148" s="121">
        <f>IF(AND([0]!Godina=2022,MID(Osnovni_podaci!D20,3,1)="H",Osnovni_podaci!L24=3,Osnovni_podaci!G24=0,MID(Osnovni_podaci!D20,3,1)="H",MID(Osnovni_podaci!D20,8,1)="S"),VLOOKUP( $B148, T_Aop[], 4, 1),A1)</f>
        <v>157</v>
      </c>
      <c r="J148" s="157"/>
      <c r="K148" s="670"/>
      <c r="L148" s="671"/>
      <c r="M148" s="197">
        <v>549344</v>
      </c>
      <c r="N148" s="198">
        <v>1454771</v>
      </c>
      <c r="P148" s="44"/>
    </row>
    <row r="149" spans="2:16" x14ac:dyDescent="0.3">
      <c r="B149" s="15">
        <v>125</v>
      </c>
      <c r="C149" s="359" t="str">
        <f>IF(AND([0]!Godina=2022,MID(Osnovni_podaci!D20,3,1)="H",Osnovni_podaci!L24=3,Osnovni_podaci!G24=0,MID(Osnovni_podaci!D20,3,1)="H",MID(Osnovni_podaci!D20,8,1)="S"),VLOOKUP( $B149, T_Aop[], 5, 1),A1)</f>
        <v>432, 433, 434</v>
      </c>
      <c r="D149" s="601" t="str">
        <f>IF(AND([0]!Godina=2022,MID(Osnovni_podaci!D20,3,1)="H",Osnovni_podaci!L24=3,Osnovni_podaci!G24=0,MID(Osnovni_podaci!D20,3,1)="H",MID(Osnovni_podaci!D20,8,1)="S"),VLOOKUP( $B149, T_Aop[], 6, 1),A1)</f>
        <v xml:space="preserve">      2.3. Domestic suppliers</v>
      </c>
      <c r="E149" s="602"/>
      <c r="F149" s="602"/>
      <c r="G149" s="602"/>
      <c r="H149" s="603"/>
      <c r="I149" s="122">
        <f>IF(AND([0]!Godina=2022,MID(Osnovni_podaci!D20,3,1)="H",Osnovni_podaci!L24=3,Osnovni_podaci!G24=0,MID(Osnovni_podaci!D20,3,1)="H",MID(Osnovni_podaci!D20,8,1)="S"),VLOOKUP( $B149, T_Aop[], 4, 1),A1)</f>
        <v>158</v>
      </c>
      <c r="J149" s="155"/>
      <c r="K149" s="672"/>
      <c r="L149" s="673"/>
      <c r="M149" s="195">
        <v>65341</v>
      </c>
      <c r="N149" s="196">
        <v>55472</v>
      </c>
      <c r="P149" s="44"/>
    </row>
    <row r="150" spans="2:16" x14ac:dyDescent="0.3">
      <c r="B150" s="15">
        <v>126</v>
      </c>
      <c r="C150" s="358">
        <f>IF(AND([0]!Godina=2022,MID(Osnovni_podaci!D20,3,1)="H",Osnovni_podaci!L24=3,Osnovni_podaci!G24=0,MID(Osnovni_podaci!D20,3,1)="H",MID(Osnovni_podaci!D20,8,1)="S"),VLOOKUP( $B150, T_Aop[], 5, 1),A1)</f>
        <v>435</v>
      </c>
      <c r="D150" s="604" t="str">
        <f>IF(AND([0]!Godina=2022,MID(Osnovni_podaci!D20,3,1)="H",Osnovni_podaci!L24=3,Osnovni_podaci!G24=0,MID(Osnovni_podaci!D20,3,1)="H",MID(Osnovni_podaci!D20,8,1)="S"),VLOOKUP( $B150, T_Aop[], 6, 1),A1)</f>
        <v xml:space="preserve">      2.4. Foreign suppliers</v>
      </c>
      <c r="E150" s="605"/>
      <c r="F150" s="605"/>
      <c r="G150" s="605"/>
      <c r="H150" s="606"/>
      <c r="I150" s="121">
        <f>IF(AND([0]!Godina=2022,MID(Osnovni_podaci!D20,3,1)="H",Osnovni_podaci!L24=3,Osnovni_podaci!G24=0,MID(Osnovni_podaci!D20,3,1)="H",MID(Osnovni_podaci!D20,8,1)="S"),VLOOKUP( $B150, T_Aop[], 4, 1),A1)</f>
        <v>159</v>
      </c>
      <c r="J150" s="157"/>
      <c r="K150" s="670"/>
      <c r="L150" s="671"/>
      <c r="M150" s="197"/>
      <c r="N150" s="198">
        <v>4674</v>
      </c>
      <c r="P150" s="44"/>
    </row>
    <row r="151" spans="2:16" x14ac:dyDescent="0.3">
      <c r="B151" s="15">
        <v>127</v>
      </c>
      <c r="C151" s="359" t="str">
        <f>IF(AND([0]!Godina=2022,MID(Osnovni_podaci!D20,3,1)="H",Osnovni_podaci!L24=3,Osnovni_podaci!G24=0,MID(Osnovni_podaci!D20,3,1)="H",MID(Osnovni_podaci!D20,8,1)="S"),VLOOKUP( $B151, T_Aop[], 5, 1),A1)</f>
        <v>437, 439</v>
      </c>
      <c r="D151" s="601" t="str">
        <f>IF(AND([0]!Godina=2022,MID(Osnovni_podaci!D20,3,1)="H",Osnovni_podaci!L24=3,Osnovni_podaci!G24=0,MID(Osnovni_podaci!D20,3,1)="H",MID(Osnovni_podaci!D20,8,1)="S"),VLOOKUP( $B151, T_Aop[], 6, 1),A1)</f>
        <v xml:space="preserve">      2.5. Other operating liabilities</v>
      </c>
      <c r="E151" s="602"/>
      <c r="F151" s="602"/>
      <c r="G151" s="602"/>
      <c r="H151" s="603"/>
      <c r="I151" s="122">
        <f>IF(AND([0]!Godina=2022,MID(Osnovni_podaci!D20,3,1)="H",Osnovni_podaci!L24=3,Osnovni_podaci!G24=0,MID(Osnovni_podaci!D20,3,1)="H",MID(Osnovni_podaci!D20,8,1)="S"),VLOOKUP( $B151, T_Aop[], 4, 1),A1)</f>
        <v>160</v>
      </c>
      <c r="J151" s="155"/>
      <c r="K151" s="672"/>
      <c r="L151" s="673"/>
      <c r="M151" s="195"/>
      <c r="N151" s="196"/>
      <c r="P151" s="44"/>
    </row>
    <row r="152" spans="2:16" x14ac:dyDescent="0.3">
      <c r="B152" s="15">
        <v>128</v>
      </c>
      <c r="C152" s="358" t="str">
        <f>IF(AND([0]!Godina=2022,MID(Osnovni_podaci!D20,3,1)="H",Osnovni_podaci!L24=3,Osnovni_podaci!G24=0,MID(Osnovni_podaci!D20,3,1)="H",MID(Osnovni_podaci!D20,8,1)="S"),VLOOKUP( $B152, T_Aop[], 5, 1),A1)</f>
        <v>440 to 449</v>
      </c>
      <c r="D152" s="604" t="str">
        <f>IF(AND([0]!Godina=2022,MID(Osnovni_podaci!D20,3,1)="H",Osnovni_podaci!L24=3,Osnovni_podaci!G24=0,MID(Osnovni_podaci!D20,3,1)="H",MID(Osnovni_podaci!D20,8,1)="S"),VLOOKUP( $B152, T_Aop[], 6, 1),A1)</f>
        <v xml:space="preserve">    3. Liabilities from specific operations</v>
      </c>
      <c r="E152" s="605"/>
      <c r="F152" s="605"/>
      <c r="G152" s="605"/>
      <c r="H152" s="606"/>
      <c r="I152" s="121">
        <f>IF(AND([0]!Godina=2022,MID(Osnovni_podaci!D20,3,1)="H",Osnovni_podaci!L24=3,Osnovni_podaci!G24=0,MID(Osnovni_podaci!D20,3,1)="H",MID(Osnovni_podaci!D20,8,1)="S"),VLOOKUP( $B152, T_Aop[], 4, 1),A1)</f>
        <v>161</v>
      </c>
      <c r="J152" s="157"/>
      <c r="K152" s="670"/>
      <c r="L152" s="671"/>
      <c r="M152" s="197"/>
      <c r="N152" s="395"/>
      <c r="P152" s="44"/>
    </row>
    <row r="153" spans="2:16" x14ac:dyDescent="0.3">
      <c r="B153" s="15">
        <v>129</v>
      </c>
      <c r="C153" s="359" t="str">
        <f>IF(AND([0]!Godina=2022,MID(Osnovni_podaci!D20,3,1)="H",Osnovni_podaci!L24=3,Osnovni_podaci!G24=0,MID(Osnovni_podaci!D20,3,1)="H",MID(Osnovni_podaci!D20,8,1)="S"),VLOOKUP( $B153, T_Aop[], 5, 1),A1)</f>
        <v>450 to 458</v>
      </c>
      <c r="D153" s="601" t="str">
        <f>IF(AND([0]!Godina=2022,MID(Osnovni_podaci!D20,3,1)="H",Osnovni_podaci!L24=3,Osnovni_podaci!G24=0,MID(Osnovni_podaci!D20,3,1)="H",MID(Osnovni_podaci!D20,8,1)="S"),VLOOKUP( $B153, T_Aop[], 6, 1),A1)</f>
        <v xml:space="preserve">    4. Wages (salaries) and salaries (salaries compensations) payable</v>
      </c>
      <c r="E153" s="602"/>
      <c r="F153" s="602"/>
      <c r="G153" s="602"/>
      <c r="H153" s="603"/>
      <c r="I153" s="122">
        <f>IF(AND([0]!Godina=2022,MID(Osnovni_podaci!D20,3,1)="H",Osnovni_podaci!L24=3,Osnovni_podaci!G24=0,MID(Osnovni_podaci!D20,3,1)="H",MID(Osnovni_podaci!D20,8,1)="S"),VLOOKUP( $B153, T_Aop[], 4, 1),A1)</f>
        <v>162</v>
      </c>
      <c r="J153" s="155"/>
      <c r="K153" s="672"/>
      <c r="L153" s="673"/>
      <c r="M153" s="195">
        <v>37567</v>
      </c>
      <c r="N153" s="396">
        <v>33575</v>
      </c>
      <c r="P153" s="44"/>
    </row>
    <row r="154" spans="2:16" x14ac:dyDescent="0.3">
      <c r="B154" s="15">
        <v>130</v>
      </c>
      <c r="C154" s="358" t="str">
        <f>IF(AND([0]!Godina=2022,MID(Osnovni_podaci!D20,3,1)="H",Osnovni_podaci!L24=3,Osnovni_podaci!G24=0,MID(Osnovni_podaci!D20,3,1)="H",MID(Osnovni_podaci!D20,8,1)="S"),VLOOKUP( $B154, T_Aop[], 5, 1),A1)</f>
        <v>460 to 469</v>
      </c>
      <c r="D154" s="604" t="str">
        <f>IF(AND([0]!Godina=2022,MID(Osnovni_podaci!D20,3,1)="H",Osnovni_podaci!L24=3,Osnovni_podaci!G24=0,MID(Osnovni_podaci!D20,3,1)="H",MID(Osnovni_podaci!D20,8,1)="S"),VLOOKUP( $B154, T_Aop[], 6, 1),A1)</f>
        <v xml:space="preserve">    5. Other liabilities</v>
      </c>
      <c r="E154" s="605"/>
      <c r="F154" s="605"/>
      <c r="G154" s="605"/>
      <c r="H154" s="606"/>
      <c r="I154" s="121">
        <f>IF(AND([0]!Godina=2022,MID(Osnovni_podaci!D20,3,1)="H",Osnovni_podaci!L24=3,Osnovni_podaci!G24=0,MID(Osnovni_podaci!D20,3,1)="H",MID(Osnovni_podaci!D20,8,1)="S"),VLOOKUP( $B154, T_Aop[], 4, 1),A1)</f>
        <v>163</v>
      </c>
      <c r="J154" s="157"/>
      <c r="K154" s="670"/>
      <c r="L154" s="671"/>
      <c r="M154" s="197">
        <v>1635</v>
      </c>
      <c r="N154" s="395">
        <v>1039</v>
      </c>
      <c r="P154" s="44"/>
    </row>
    <row r="155" spans="2:16" x14ac:dyDescent="0.3">
      <c r="B155" s="15">
        <v>131</v>
      </c>
      <c r="C155" s="359" t="str">
        <f>IF(AND([0]!Godina=2022,MID(Osnovni_podaci!D20,3,1)="H",Osnovni_podaci!L24=3,Osnovni_podaci!G24=0,MID(Osnovni_podaci!D20,3,1)="H",MID(Osnovni_podaci!D20,8,1)="S"),VLOOKUP( $B155, T_Aop[], 5, 1),A1)</f>
        <v>470 to 479</v>
      </c>
      <c r="D155" s="601" t="str">
        <f>IF(AND([0]!Godina=2022,MID(Osnovni_podaci!D20,3,1)="H",Osnovni_podaci!L24=3,Osnovni_podaci!G24=0,MID(Osnovni_podaci!D20,3,1)="H",MID(Osnovni_podaci!D20,8,1)="S"),VLOOKUP( $B155, T_Aop[], 6, 1),A1)</f>
        <v xml:space="preserve">    6. Value added tax</v>
      </c>
      <c r="E155" s="602"/>
      <c r="F155" s="602"/>
      <c r="G155" s="602"/>
      <c r="H155" s="603"/>
      <c r="I155" s="122">
        <f>IF(AND([0]!Godina=2022,MID(Osnovni_podaci!D20,3,1)="H",Osnovni_podaci!L24=3,Osnovni_podaci!G24=0,MID(Osnovni_podaci!D20,3,1)="H",MID(Osnovni_podaci!D20,8,1)="S"),VLOOKUP( $B155, T_Aop[], 4, 1),A1)</f>
        <v>164</v>
      </c>
      <c r="J155" s="155"/>
      <c r="K155" s="672"/>
      <c r="L155" s="673"/>
      <c r="M155" s="195">
        <v>5275</v>
      </c>
      <c r="N155" s="396">
        <v>16177</v>
      </c>
      <c r="P155" s="44"/>
    </row>
    <row r="156" spans="2:16" ht="12.75" customHeight="1" x14ac:dyDescent="0.3">
      <c r="B156" s="15">
        <v>132</v>
      </c>
      <c r="C156" s="358" t="str">
        <f>IF(AND([0]!Godina=2022,MID(Osnovni_podaci!D20,3,1)="H",Osnovni_podaci!L24=3,Osnovni_podaci!G24=0,MID(Osnovni_podaci!D20,3,1)="H",MID(Osnovni_podaci!D20,8,1)="S"),VLOOKUP( $B156, T_Aop[], 5, 1),A1)</f>
        <v>48, except 481</v>
      </c>
      <c r="D156" s="604" t="str">
        <f>IF(AND([0]!Godina=2022,MID(Osnovni_podaci!D20,3,1)="H",Osnovni_podaci!L24=3,Osnovni_podaci!G24=0,MID(Osnovni_podaci!D20,3,1)="H",MID(Osnovni_podaci!D20,8,1)="S"),VLOOKUP( $B156, T_Aop[], 6, 1),A1)</f>
        <v xml:space="preserve">    7. Other taxes, contributions and other fees payable</v>
      </c>
      <c r="E156" s="605"/>
      <c r="F156" s="605"/>
      <c r="G156" s="605"/>
      <c r="H156" s="606"/>
      <c r="I156" s="121">
        <f>IF(AND([0]!Godina=2022,MID(Osnovni_podaci!D20,3,1)="H",Osnovni_podaci!L24=3,Osnovni_podaci!G24=0,MID(Osnovni_podaci!D20,3,1)="H",MID(Osnovni_podaci!D20,8,1)="S"),VLOOKUP( $B156, T_Aop[], 4, 1),A1)</f>
        <v>165</v>
      </c>
      <c r="J156" s="157"/>
      <c r="K156" s="670"/>
      <c r="L156" s="671"/>
      <c r="M156" s="197">
        <v>7940</v>
      </c>
      <c r="N156" s="395">
        <v>5576</v>
      </c>
      <c r="P156" s="44"/>
    </row>
    <row r="157" spans="2:16" ht="10.5" customHeight="1" x14ac:dyDescent="0.3">
      <c r="B157" s="15">
        <v>133</v>
      </c>
      <c r="C157" s="359">
        <f>IF(AND([0]!Godina=2022,MID(Osnovni_podaci!D20,3,1)="H",Osnovni_podaci!L24=3,Osnovni_podaci!G24=0,MID(Osnovni_podaci!D20,3,1)="H",MID(Osnovni_podaci!D20,8,1)="S"),VLOOKUP( $B157, T_Aop[], 5, 1),A1)</f>
        <v>481</v>
      </c>
      <c r="D157" s="601" t="str">
        <f>IF(AND([0]!Godina=2022,MID(Osnovni_podaci!D20,3,1)="H",Osnovni_podaci!L24=3,Osnovni_podaci!G24=0,MID(Osnovni_podaci!D20,3,1)="H",MID(Osnovni_podaci!D20,8,1)="S"),VLOOKUP( $B157, T_Aop[], 6, 1),A1)</f>
        <v xml:space="preserve">    8. Profit tax liabilities</v>
      </c>
      <c r="E157" s="602"/>
      <c r="F157" s="602"/>
      <c r="G157" s="602"/>
      <c r="H157" s="603"/>
      <c r="I157" s="122">
        <f>IF(AND([0]!Godina=2022,MID(Osnovni_podaci!D20,3,1)="H",Osnovni_podaci!L24=3,Osnovni_podaci!G24=0,MID(Osnovni_podaci!D20,3,1)="H",MID(Osnovni_podaci!D20,8,1)="S"),VLOOKUP( $B157, T_Aop[], 4, 1),A1)</f>
        <v>166</v>
      </c>
      <c r="J157" s="155"/>
      <c r="K157" s="672"/>
      <c r="L157" s="673"/>
      <c r="M157" s="195">
        <v>0</v>
      </c>
      <c r="N157" s="396">
        <v>84982</v>
      </c>
      <c r="P157" s="44"/>
    </row>
    <row r="158" spans="2:16" ht="12.75" customHeight="1" x14ac:dyDescent="0.3">
      <c r="B158" s="15">
        <v>134</v>
      </c>
      <c r="C158" s="358" t="str">
        <f>IF(AND([0]!Godina=2022,MID(Osnovni_podaci!D20,3,1)="H",Osnovni_podaci!L24=3,Osnovni_podaci!G24=0,MID(Osnovni_podaci!D20,3,1)="H",MID(Osnovni_podaci!D20,8,1)="S"),VLOOKUP( $B158, T_Aop[], 5, 1),A1)</f>
        <v>49, except 496</v>
      </c>
      <c r="D158" s="604" t="str">
        <f>IF(AND([0]!Godina=2022,MID(Osnovni_podaci!D20,3,1)="H",Osnovni_podaci!L24=3,Osnovni_podaci!G24=0,MID(Osnovni_podaci!D20,3,1)="H",MID(Osnovni_podaci!D20,8,1)="S"),VLOOKUP( $B158, T_Aop[], 6, 1),A1)</f>
        <v xml:space="preserve">    9. Short-term accruals</v>
      </c>
      <c r="E158" s="605"/>
      <c r="F158" s="605"/>
      <c r="G158" s="605"/>
      <c r="H158" s="606"/>
      <c r="I158" s="121">
        <f>IF(AND([0]!Godina=2022,MID(Osnovni_podaci!D20,3,1)="H",Osnovni_podaci!L24=3,Osnovni_podaci!G24=0,MID(Osnovni_podaci!D20,3,1)="H",MID(Osnovni_podaci!D20,8,1)="S"),VLOOKUP( $B158, T_Aop[], 4, 1),A1)</f>
        <v>167</v>
      </c>
      <c r="J158" s="157"/>
      <c r="K158" s="670"/>
      <c r="L158" s="671"/>
      <c r="M158" s="197"/>
      <c r="N158" s="198"/>
      <c r="P158" s="44"/>
    </row>
    <row r="159" spans="2:16" ht="12.75" customHeight="1" x14ac:dyDescent="0.3">
      <c r="B159" s="15">
        <v>135</v>
      </c>
      <c r="C159" s="359">
        <f>VLOOKUP( $B159, T_Aop[], 5, 1)</f>
        <v>496</v>
      </c>
      <c r="D159" s="601" t="str">
        <f>IF(AND([0]!Godina=2022,MID(Osnovni_podaci!D20,3,1)="H",Osnovni_podaci!L24=3,Osnovni_podaci!G24=0,MID(Osnovni_podaci!D20,3,1)="H",MID(Osnovni_podaci!D20,8,1)="S"),VLOOKUP( $B159, T_Aop[], 6, 1),A1)</f>
        <v xml:space="preserve">    10. Short-term provisions</v>
      </c>
      <c r="E159" s="602"/>
      <c r="F159" s="602"/>
      <c r="G159" s="602"/>
      <c r="H159" s="603"/>
      <c r="I159" s="122">
        <f>IF(AND([0]!Godina=2022,MID(Osnovni_podaci!D20,3,1)="H",Osnovni_podaci!L24=3,Osnovni_podaci!G24=0,MID(Osnovni_podaci!D20,3,1)="H",MID(Osnovni_podaci!D20,8,1)="S"),VLOOKUP( $B159, T_Aop[], 4, 1),A1)</f>
        <v>168</v>
      </c>
      <c r="J159" s="155"/>
      <c r="K159" s="672"/>
      <c r="L159" s="673"/>
      <c r="M159" s="195"/>
      <c r="N159" s="196"/>
    </row>
    <row r="160" spans="2:16" ht="6" customHeight="1" x14ac:dyDescent="0.3">
      <c r="B160" s="15">
        <v>136</v>
      </c>
      <c r="C160" s="358"/>
      <c r="D160" s="604" t="str">
        <f>IF(AND([0]!Godina=2022,MID(Osnovni_podaci!D20,3,1)="H",Osnovni_podaci!L24=3,Osnovni_podaci!G24=0,MID(Osnovni_podaci!D20,3,1)="H",MID(Osnovni_podaci!D20,8,1)="S"),VLOOKUP( $B160, T_Aop[], 6, 1),A1)</f>
        <v/>
      </c>
      <c r="E160" s="605"/>
      <c r="F160" s="605"/>
      <c r="G160" s="605"/>
      <c r="H160" s="606"/>
      <c r="I160" s="170">
        <f>IF(AND([0]!Godina=2022,MID(Osnovni_podaci!D20,3,1)="H",Osnovni_podaci!L24=3,Osnovni_podaci!G24=0,MID(Osnovni_podaci!D20,3,1)="H",MID(Osnovni_podaci!D20,8,1)="S"),VLOOKUP( $B160, T_Aop[], 4, 1),A1)</f>
        <v>0</v>
      </c>
      <c r="J160" s="157"/>
      <c r="K160" s="670"/>
      <c r="L160" s="671"/>
      <c r="M160" s="197"/>
      <c r="N160" s="198"/>
    </row>
    <row r="161" spans="2:20" ht="12.75" customHeight="1" x14ac:dyDescent="0.3">
      <c r="B161" s="15">
        <v>137</v>
      </c>
      <c r="C161" s="359"/>
      <c r="D161" s="607" t="str">
        <f>IF(AND([0]!Godina=2022,MID(Osnovni_podaci!D20,3,1)="H",Osnovni_podaci!L24=3,Osnovni_podaci!G24=0,MID(Osnovni_podaci!D20,3,1)="H",MID(Osnovni_podaci!D20,8,1)="S"),VLOOKUP( $B161, T_Aop[], 6, 1),A1)</f>
        <v xml:space="preserve">  D. BALANCE SHEET EQUITY AND LIABILITIES(101 + 132 + 146 + 147)</v>
      </c>
      <c r="E161" s="608"/>
      <c r="F161" s="608"/>
      <c r="G161" s="608"/>
      <c r="H161" s="609"/>
      <c r="I161" s="171">
        <f>IF(AND([0]!Godina=2022,MID(Osnovni_podaci!D20,3,1)="H",Osnovni_podaci!L24=3,Osnovni_podaci!G24=0,MID(Osnovni_podaci!D20,3,1)="H",MID(Osnovni_podaci!D20,8,1)="S"),VLOOKUP( $B161, T_Aop[], 4, 1),A1)</f>
        <v>169</v>
      </c>
      <c r="J161" s="155"/>
      <c r="K161" s="672"/>
      <c r="L161" s="673"/>
      <c r="M161" s="388">
        <f>SUBTOTAL( 9, M93:M100, M106:M109,M104, M110:M112,M113,M115:M118,M122:M159) - SUBTOTAL( 9, M114, M101:M103, M105,  M119:M121)</f>
        <v>5421596</v>
      </c>
      <c r="N161" s="399">
        <f>SUBTOTAL( 9, N93:N100, N106:N109,N104, N110:N112,N113,N115:N118,N122:N159) - SUBTOTAL( 9, N114, N101:N103, N105,  N119:N121)</f>
        <v>5927735</v>
      </c>
    </row>
    <row r="162" spans="2:20" ht="9.75" customHeight="1" x14ac:dyDescent="0.3">
      <c r="B162" s="15">
        <v>138</v>
      </c>
      <c r="C162" s="364" t="str">
        <f>VLOOKUP( $B162, T_Aop[], 5, 1)</f>
        <v>890 to 898</v>
      </c>
      <c r="D162" s="610" t="str">
        <f>IF(AND([0]!Godina=2022,MID(Osnovni_podaci!D20,3,1)="H",Osnovni_podaci!L24=3,Osnovni_podaci!G24=0,MID(Osnovni_podaci!D20,3,1)="H",MID(Osnovni_podaci!D20,8,1)="S"),VLOOKUP( $B162, T_Aop[], 6, 1),A1)</f>
        <v xml:space="preserve">  E. OFF BALANCE SHEET EQUITY AND LIABILITIES</v>
      </c>
      <c r="E162" s="611"/>
      <c r="F162" s="611"/>
      <c r="G162" s="611"/>
      <c r="H162" s="612"/>
      <c r="I162" s="173">
        <f>IF(AND([0]!Godina=2022,MID(Osnovni_podaci!D20,3,1)="H",Osnovni_podaci!L24=3,Osnovni_podaci!G24=0,MID(Osnovni_podaci!D20,3,1)="H",MID(Osnovni_podaci!D20,8,1)="S"),VLOOKUP( $B162, T_Aop[], 4, 1),A1)</f>
        <v>170</v>
      </c>
      <c r="J162" s="511"/>
      <c r="K162" s="674"/>
      <c r="L162" s="675"/>
      <c r="M162" s="439"/>
      <c r="N162" s="438"/>
    </row>
    <row r="163" spans="2:20" ht="9.75" customHeight="1" x14ac:dyDescent="0.3"/>
    <row r="164" spans="2:20" ht="3" hidden="1" customHeight="1" x14ac:dyDescent="0.3"/>
    <row r="165" spans="2:20" ht="0.75" hidden="1" customHeight="1" x14ac:dyDescent="0.3">
      <c r="C165" s="180"/>
      <c r="D165" s="519"/>
      <c r="E165"/>
      <c r="F165" s="56"/>
    </row>
    <row r="166" spans="2:20" ht="25.5" customHeight="1" x14ac:dyDescent="0.3">
      <c r="C166" s="180" t="str">
        <f>Podnozje_U</f>
        <v>In</v>
      </c>
      <c r="D166" s="419" t="str">
        <f>Podatak_U</f>
        <v>Kakmužu</v>
      </c>
      <c r="E166"/>
      <c r="F166" s="56" t="str">
        <f>Podnozje_Lice_sa_licencom</f>
        <v>Authorized Accountant:</v>
      </c>
      <c r="G166" s="8"/>
      <c r="H166" s="14" t="str">
        <f>Podnozje_Broj_licence</f>
        <v>Licence No.:</v>
      </c>
      <c r="J166" s="37" t="str">
        <f>Podnozje_MP</f>
        <v>(Stamp)</v>
      </c>
      <c r="L166" s="1" t="str">
        <f>Podnozje_Direktor</f>
        <v>CEO:</v>
      </c>
      <c r="M166" s="1"/>
      <c r="N166" s="1"/>
      <c r="O166" s="14"/>
      <c r="P166" s="14"/>
      <c r="Q166" s="14"/>
      <c r="R166" s="14"/>
      <c r="S166" s="14"/>
      <c r="T166" s="29"/>
    </row>
    <row r="167" spans="2:20" ht="20.25" customHeight="1" x14ac:dyDescent="0.3">
      <c r="D167" s="127"/>
      <c r="E167" t="s">
        <v>786</v>
      </c>
      <c r="F167" s="599" t="str">
        <f>Podatak_Lice_sa_licencom</f>
        <v>Žarko Tripunović</v>
      </c>
      <c r="G167" s="599"/>
      <c r="H167" s="8" t="str">
        <f>Podatak_Broj_Licence</f>
        <v>SR-1138/23</v>
      </c>
      <c r="I167" s="78"/>
      <c r="L167" s="510" t="str">
        <f>Podatak_Direktor</f>
        <v>Mladen Ristić</v>
      </c>
      <c r="M167" s="510"/>
      <c r="N167" s="510"/>
      <c r="O167" s="14"/>
      <c r="P167" s="14"/>
      <c r="R167" s="14"/>
      <c r="S167" s="14"/>
      <c r="T167" s="29"/>
    </row>
    <row r="168" spans="2:20" ht="24" customHeight="1" x14ac:dyDescent="0.3">
      <c r="C168" s="180" t="str">
        <f>Podnozje_Dana</f>
        <v>Date:</v>
      </c>
      <c r="D168" s="418" t="str">
        <f>Podatak_Dana</f>
        <v>21.02.2022.</v>
      </c>
      <c r="E168"/>
      <c r="F168" s="417"/>
      <c r="G168"/>
      <c r="H168" s="8"/>
      <c r="I168" s="8"/>
      <c r="J168" s="9"/>
      <c r="L168" s="521"/>
      <c r="M168" s="521"/>
      <c r="N168" s="520"/>
      <c r="O168" s="14"/>
      <c r="P168" s="14"/>
      <c r="Q168" s="14"/>
      <c r="R168" s="14"/>
      <c r="S168" s="14"/>
      <c r="T168" s="29"/>
    </row>
    <row r="169" spans="2:20" ht="18.75" customHeight="1" x14ac:dyDescent="0.3"/>
    <row r="170" spans="2:20" ht="14.25" customHeight="1" x14ac:dyDescent="0.3">
      <c r="C170" s="180"/>
      <c r="D170" s="519"/>
      <c r="E170"/>
      <c r="F170" s="56"/>
      <c r="G170" s="8"/>
      <c r="H170" s="8" t="str">
        <f>_xlfn.TEXTJOIN(" ",FALSE,Osnovni_podaci!D66,Osnovni_podaci!D68)</f>
        <v xml:space="preserve"> </v>
      </c>
      <c r="I170" s="37"/>
      <c r="J170" s="598"/>
      <c r="K170" s="598"/>
      <c r="L170" s="598"/>
    </row>
    <row r="171" spans="2:20" hidden="1" x14ac:dyDescent="0.3">
      <c r="D171" s="127"/>
      <c r="E171"/>
      <c r="F171" s="599"/>
      <c r="G171" s="599"/>
      <c r="H171" s="8"/>
      <c r="I171" s="78"/>
      <c r="J171" s="600" t="s">
        <v>472</v>
      </c>
      <c r="K171" s="600"/>
      <c r="L171" s="600"/>
    </row>
    <row r="172" spans="2:20" hidden="1" x14ac:dyDescent="0.3">
      <c r="C172" s="180"/>
      <c r="D172" s="418"/>
      <c r="E172"/>
      <c r="F172" s="417"/>
      <c r="G172"/>
      <c r="H172" s="8"/>
      <c r="I172" s="8"/>
      <c r="J172" s="9"/>
      <c r="K172" s="262"/>
      <c r="L172" s="262"/>
    </row>
    <row r="173" spans="2:20" hidden="1" x14ac:dyDescent="0.3">
      <c r="C173" s="8"/>
      <c r="D173" s="9"/>
      <c r="E173" s="40"/>
      <c r="F173" s="8"/>
      <c r="G173" s="39"/>
      <c r="H173"/>
      <c r="I173" s="8"/>
      <c r="J173" s="8"/>
    </row>
    <row r="174" spans="2:20" hidden="1" x14ac:dyDescent="0.3">
      <c r="C174" s="37"/>
      <c r="D174" s="40"/>
      <c r="E174" s="40"/>
      <c r="F174" s="40"/>
      <c r="G174" s="40"/>
      <c r="H174" s="8"/>
      <c r="I174" s="9"/>
      <c r="J174" s="37"/>
      <c r="K174" s="37"/>
    </row>
    <row r="175" spans="2:20" x14ac:dyDescent="0.3"/>
  </sheetData>
  <sheetProtection algorithmName="SHA-512" hashValue="hIPz4nXlDssxugz04eHwRiIIXE1aukhtNkvg6xlxB08aC2C2xruZDuLOQyboLSwh+PUhxSu0ahp/4F3FC4Y1lw==" saltValue="gztmBZgkhe5RUj1Iuwoch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99060</xdr:colOff>
                    <xdr:row>0</xdr:row>
                    <xdr:rowOff>0</xdr:rowOff>
                  </from>
                  <to>
                    <xdr:col>12</xdr:col>
                    <xdr:colOff>152400</xdr:colOff>
                    <xdr:row>3</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34" activePane="bottomRight" state="frozen"/>
      <selection activeCell="S33" sqref="S33"/>
      <selection pane="topRight" activeCell="S33" sqref="S33"/>
      <selection pane="bottomLeft" activeCell="S33" sqref="S33"/>
      <selection pane="bottomRight" activeCell="J137" sqref="J137"/>
    </sheetView>
  </sheetViews>
  <sheetFormatPr defaultColWidth="0" defaultRowHeight="13.8" zeroHeight="1" x14ac:dyDescent="0.3"/>
  <cols>
    <col min="1" max="1" width="4.6640625" style="8" customWidth="1"/>
    <col min="2" max="2" width="7.5546875" style="8" hidden="1" customWidth="1"/>
    <col min="3" max="3" width="18.88671875" style="8" customWidth="1"/>
    <col min="4" max="7" width="17" style="8" customWidth="1"/>
    <col min="8" max="8" width="17.44140625" style="8" customWidth="1"/>
    <col min="9" max="9" width="7.109375" style="8" customWidth="1"/>
    <col min="10" max="10" width="12.33203125" style="8" customWidth="1"/>
    <col min="11" max="11" width="14.44140625" style="8" customWidth="1"/>
    <col min="12" max="12" width="14.5546875" style="8" customWidth="1"/>
    <col min="13" max="13" width="0.33203125" style="8" customWidth="1"/>
    <col min="14" max="14" width="8.88671875" style="8" hidden="1" customWidth="1"/>
    <col min="15" max="15" width="11.44140625" style="8" hidden="1" customWidth="1"/>
    <col min="16" max="255" width="9.109375" style="8" hidden="1" customWidth="1"/>
    <col min="256" max="16383" width="2.88671875" style="8" hidden="1"/>
    <col min="16384" max="16384" width="1.33203125" style="8" customWidth="1"/>
  </cols>
  <sheetData>
    <row r="1" spans="3:12" ht="12.75" customHeight="1" x14ac:dyDescent="0.3">
      <c r="C1" s="18"/>
      <c r="D1" s="18"/>
      <c r="E1" s="18"/>
      <c r="F1" s="18"/>
      <c r="G1" s="18"/>
      <c r="H1" s="18"/>
      <c r="I1" s="18"/>
      <c r="J1" s="18"/>
      <c r="K1" s="18"/>
    </row>
    <row r="2" spans="3:12" ht="12.75" customHeight="1" x14ac:dyDescent="0.3">
      <c r="C2" s="18"/>
      <c r="D2" s="18"/>
      <c r="E2" s="18"/>
      <c r="F2" s="18"/>
      <c r="G2" s="18"/>
      <c r="H2" s="18"/>
      <c r="I2" s="18"/>
      <c r="J2" s="18"/>
      <c r="K2" s="18"/>
    </row>
    <row r="3" spans="3:12" ht="12.75" customHeight="1" x14ac:dyDescent="0.3">
      <c r="C3" s="18"/>
      <c r="D3" s="18"/>
      <c r="E3" s="18"/>
      <c r="F3" s="18"/>
      <c r="G3" s="18"/>
      <c r="H3" s="18"/>
      <c r="I3" s="18"/>
      <c r="J3" s="18"/>
      <c r="K3" s="18"/>
    </row>
    <row r="4" spans="3:12" ht="12.75" customHeight="1" x14ac:dyDescent="0.3">
      <c r="C4" s="18"/>
      <c r="D4" s="18"/>
      <c r="E4" s="18"/>
      <c r="F4" s="18"/>
      <c r="G4" s="18"/>
      <c r="H4" s="18"/>
      <c r="I4" s="18"/>
      <c r="J4" s="18"/>
      <c r="K4" s="18"/>
    </row>
    <row r="5" spans="3:12" ht="14.25" customHeight="1" x14ac:dyDescent="0.3">
      <c r="C5" s="644" t="str">
        <f>Zaglavlje_Naziv_preduzeca</f>
        <v>Company Name:</v>
      </c>
      <c r="D5" s="644"/>
      <c r="E5" s="644"/>
      <c r="K5" s="9"/>
      <c r="L5" s="392" t="str">
        <f>Podatak_MB</f>
        <v>01755633</v>
      </c>
    </row>
    <row r="6" spans="3:12" ht="14.25" customHeight="1" x14ac:dyDescent="0.3">
      <c r="C6" s="644"/>
      <c r="D6" s="644"/>
      <c r="E6" s="644"/>
      <c r="F6" s="9"/>
      <c r="K6" s="9"/>
      <c r="L6" s="421" t="str">
        <f>Zaglavlje_MB</f>
        <v>ID Number</v>
      </c>
    </row>
    <row r="7" spans="3:12" ht="14.25" customHeight="1" x14ac:dyDescent="0.3">
      <c r="C7" s="656" t="str">
        <f>Podatak_Naziv_preduzeca</f>
        <v>TEHNOGAS-KAKMUŽ AD PETROVO</v>
      </c>
      <c r="D7" s="656"/>
      <c r="E7" s="656"/>
      <c r="F7" s="17"/>
      <c r="K7" s="9"/>
      <c r="L7" s="392" t="str">
        <f>Podatak_Sifra_djelatnosti</f>
        <v>20.11</v>
      </c>
    </row>
    <row r="8" spans="3:12" ht="12.75" customHeight="1" x14ac:dyDescent="0.3">
      <c r="C8" s="125" t="str">
        <f>Zaglavlje_Sjediste</f>
        <v>Registered Office:</v>
      </c>
      <c r="D8" s="668" t="str">
        <f>Podatak_Sjediste</f>
        <v>PETROVO</v>
      </c>
      <c r="E8" s="668"/>
      <c r="F8" s="17"/>
      <c r="K8" s="9"/>
      <c r="L8" s="421" t="str">
        <f>Zaglavlje_Sifra_djelatnosti</f>
        <v>Code of Industry</v>
      </c>
    </row>
    <row r="9" spans="3:12" ht="12.75" customHeight="1" x14ac:dyDescent="0.3">
      <c r="C9" s="655" t="str">
        <f>Zaglavlje_Ziro_racun</f>
        <v>Bank Account Numbers:</v>
      </c>
      <c r="D9" s="655"/>
      <c r="E9" s="655"/>
      <c r="F9" s="244"/>
      <c r="K9" s="9"/>
      <c r="L9" s="392" t="str">
        <f>Podatak_JIB</f>
        <v>4400228130004</v>
      </c>
    </row>
    <row r="10" spans="3:12" ht="12.75" customHeight="1" x14ac:dyDescent="0.3">
      <c r="C10" s="657" t="str">
        <f>Podatak_Ziro_racun_1</f>
        <v>562-005-00000031-60</v>
      </c>
      <c r="D10" s="657"/>
      <c r="E10" s="657"/>
      <c r="F10" s="14"/>
      <c r="G10" s="13"/>
      <c r="H10" s="13"/>
      <c r="I10" s="13"/>
      <c r="J10" s="13"/>
      <c r="K10" s="704" t="str">
        <f>Zaglavlje_JIB</f>
        <v>Tax Number</v>
      </c>
      <c r="L10" s="704"/>
    </row>
    <row r="11" spans="3:12" ht="12.75" customHeight="1" x14ac:dyDescent="0.3">
      <c r="C11" s="657" t="str">
        <f>Podatak_Ziro_racun_2</f>
        <v>551-004-00009751-20</v>
      </c>
      <c r="D11" s="657"/>
      <c r="E11" s="657"/>
      <c r="F11" s="14"/>
      <c r="J11" s="245"/>
      <c r="K11" s="245"/>
    </row>
    <row r="12" spans="3:12" ht="12.75" customHeight="1" x14ac:dyDescent="0.3">
      <c r="C12" s="701" t="str">
        <f>Podatak_Ziro_racun_3</f>
        <v/>
      </c>
      <c r="D12" s="701"/>
      <c r="E12" s="701"/>
      <c r="F12" s="14"/>
      <c r="J12" s="245"/>
      <c r="K12" s="245"/>
    </row>
    <row r="13" spans="3:12" ht="12.75" customHeight="1" x14ac:dyDescent="0.3">
      <c r="C13" s="701" t="str">
        <f>Podatak_Ziro_racun_4</f>
        <v/>
      </c>
      <c r="D13" s="701"/>
      <c r="E13" s="701"/>
      <c r="F13" s="18"/>
      <c r="G13" s="18"/>
      <c r="H13" s="18"/>
      <c r="I13" s="18"/>
      <c r="J13"/>
      <c r="K13"/>
    </row>
    <row r="14" spans="3:12" ht="12.75" customHeight="1" x14ac:dyDescent="0.3">
      <c r="C14" s="669" t="str">
        <f>IF( Id_Konsolidovani, Nazivi_bilansa_Konsolidovani_naziv &amp; LOWER( Nazivi_bilansa_BUa), Nazivi_bilansa_BUa)</f>
        <v>Income Statement</v>
      </c>
      <c r="D14" s="669"/>
      <c r="E14" s="669"/>
      <c r="F14" s="669"/>
      <c r="G14" s="669"/>
      <c r="H14" s="669"/>
      <c r="I14" s="669"/>
      <c r="J14" s="669"/>
      <c r="K14" s="669"/>
      <c r="L14" s="669"/>
    </row>
    <row r="15" spans="3:12" ht="12.75" customHeight="1" x14ac:dyDescent="0.3">
      <c r="C15" s="654" t="str">
        <f>Nazivi_bilansa_BUa1</f>
        <v>(Statement of Comprehensive Income)</v>
      </c>
      <c r="D15" s="654"/>
      <c r="E15" s="654"/>
      <c r="F15" s="654"/>
      <c r="G15" s="654"/>
      <c r="H15" s="654"/>
      <c r="I15" s="654"/>
      <c r="J15" s="654"/>
      <c r="K15" s="654"/>
      <c r="L15" s="654"/>
    </row>
    <row r="16" spans="3:12" ht="12.75" customHeight="1" x14ac:dyDescent="0.3">
      <c r="C16" s="654" t="str">
        <f>Datumi_Datum_BU</f>
        <v>from 01.01. to 31.12.2022.</v>
      </c>
      <c r="D16" s="654"/>
      <c r="E16" s="654"/>
      <c r="F16" s="654"/>
      <c r="G16" s="654"/>
      <c r="H16" s="654"/>
      <c r="I16" s="654"/>
      <c r="J16" s="654"/>
      <c r="K16" s="654"/>
      <c r="L16" s="654"/>
    </row>
    <row r="17" spans="2:16" ht="12.75" customHeight="1" x14ac:dyDescent="0.3">
      <c r="C17" s="41"/>
      <c r="D17" s="41"/>
      <c r="E17" s="41"/>
      <c r="F17" s="41"/>
      <c r="G17" s="41"/>
      <c r="H17" s="41"/>
      <c r="I17" s="41"/>
      <c r="J17" s="41"/>
      <c r="L17" s="449" t="str">
        <f>Tabele_zaglavlje_Valuta</f>
        <v>- in BAM -</v>
      </c>
    </row>
    <row r="18" spans="2:16" ht="12.75" customHeight="1" x14ac:dyDescent="0.3">
      <c r="C18" s="705" t="str">
        <f>Tabele_zaglavlje_Grupa_racuna</f>
        <v>Group and part of group of accounts</v>
      </c>
      <c r="D18" s="707" t="str">
        <f>Tabele_zaglavlje_Pozicija</f>
        <v>ITEM</v>
      </c>
      <c r="E18" s="708"/>
      <c r="F18" s="708"/>
      <c r="G18" s="708"/>
      <c r="H18" s="709"/>
      <c r="I18" s="679" t="str">
        <f>Tabele_zaglavlje_Oznaka_aop</f>
        <v>AOP</v>
      </c>
      <c r="J18" s="679" t="str">
        <f>Tabele_zaglavlje_Napomena_aop</f>
        <v>Note</v>
      </c>
      <c r="K18" s="681" t="str">
        <f>Tabele_zaglavlje_Iznos</f>
        <v>Amount</v>
      </c>
      <c r="L18" s="682"/>
    </row>
    <row r="19" spans="2:16" ht="20.25" customHeight="1" x14ac:dyDescent="0.3">
      <c r="C19" s="706"/>
      <c r="D19" s="710"/>
      <c r="E19" s="711"/>
      <c r="F19" s="711"/>
      <c r="G19" s="711"/>
      <c r="H19" s="712"/>
      <c r="I19" s="680"/>
      <c r="J19" s="680"/>
      <c r="K19" s="42" t="str">
        <f>Tabele_zaglavlje_Tekuca_godina</f>
        <v>Current Year</v>
      </c>
      <c r="L19" s="43" t="str">
        <f>Tabele_zaglavlje_Prethodna_godina</f>
        <v>Previous Year</v>
      </c>
      <c r="P19" s="134" t="s">
        <v>490</v>
      </c>
    </row>
    <row r="20" spans="2:16" ht="12.75" customHeight="1" x14ac:dyDescent="0.3">
      <c r="B20" s="44" t="s">
        <v>123</v>
      </c>
      <c r="C20" s="447">
        <v>1</v>
      </c>
      <c r="D20" s="713">
        <v>2</v>
      </c>
      <c r="E20" s="714"/>
      <c r="F20" s="714"/>
      <c r="G20" s="714"/>
      <c r="H20" s="715"/>
      <c r="I20" s="408">
        <v>3</v>
      </c>
      <c r="J20" s="408">
        <v>4</v>
      </c>
      <c r="K20" s="408">
        <v>5</v>
      </c>
      <c r="L20" s="409">
        <v>6</v>
      </c>
    </row>
    <row r="21" spans="2:16" ht="25.5" customHeight="1" x14ac:dyDescent="0.3">
      <c r="B21" s="15">
        <v>139</v>
      </c>
      <c r="C21" s="453">
        <f>VLOOKUP( $B21, T_Aop[], 5, 1)</f>
        <v>0</v>
      </c>
      <c r="D21" s="716" t="str">
        <f>VLOOKUP( $B21, T_Aop[], 6, 1)</f>
        <v xml:space="preserve">  A. OPERATING INCOME AND EXPENSES I OPERATING INCOME (202 + 206 + 210 + 214 - 215 + 216 - 217 + 218)</v>
      </c>
      <c r="E21" s="717"/>
      <c r="F21" s="717"/>
      <c r="G21" s="717"/>
      <c r="H21" s="718"/>
      <c r="I21" s="503">
        <f>VLOOKUP( $B21, T_Aop[], 4, 1)</f>
        <v>201</v>
      </c>
      <c r="J21" s="498">
        <v>10</v>
      </c>
      <c r="K21" s="406">
        <f>IF(AND([0]!Godina=2022,MID(Osnovni_podaci!D20,3,1)="H",Osnovni_podaci!L24=3,Osnovni_podaci!G24=0,MID(Osnovni_podaci!D20,3,1)="H",MID(Osnovni_podaci!D20,8,1)="S"),SUBTOTAL(9,K22:K33,K34,K36,K38)-SUBTOTAL(9,K35,K37),A1)</f>
        <v>4027723</v>
      </c>
      <c r="L21" s="407">
        <f>IF(AND([0]!Godina=2022,MID(Osnovni_podaci!D20,3,1)="H",Osnovni_podaci!L24=3,Osnovni_podaci!G24=0,MID(Osnovni_podaci!D20,3,1)="H",MID(Osnovni_podaci!D20,8,1)="S"),SUBTOTAL(9,L22:L33,L34,L36,L38)-SUBTOTAL(9,L35,L37),A1)</f>
        <v>4622044</v>
      </c>
      <c r="N21" s="44"/>
      <c r="P21" s="183"/>
    </row>
    <row r="22" spans="2:16" ht="13.5" customHeight="1" x14ac:dyDescent="0.3">
      <c r="B22" s="15">
        <v>140</v>
      </c>
      <c r="C22" s="58">
        <f>VLOOKUP( $B22, T_Aop[], 5, 1)</f>
        <v>60</v>
      </c>
      <c r="D22" s="683" t="str">
        <f>VLOOKUP( $B22, T_Aop[], 6, 1)</f>
        <v xml:space="preserve">    1. Income from sales of merchandise goods (203 to 205)</v>
      </c>
      <c r="E22" s="684"/>
      <c r="F22" s="684"/>
      <c r="G22" s="684"/>
      <c r="H22" s="685"/>
      <c r="I22" s="59">
        <f>VLOOKUP( $B22, T_Aop[], 4, 1)</f>
        <v>202</v>
      </c>
      <c r="J22" s="456"/>
      <c r="K22" s="458">
        <f>IF(AND([0]!Godina=2022,MID(Osnovni_podaci!D20,3,1)="H",Osnovni_podaci!L24=3,Osnovni_podaci!G24=0,MID(Osnovni_podaci!D20,3,1)="H",MID(Osnovni_podaci!D20,8,1)="S"),SUBTOTAL( 9, K23:K25),A1)</f>
        <v>2299289</v>
      </c>
      <c r="L22" s="459">
        <f>IF(AND([0]!Godina=2022,MID(Osnovni_podaci!D20,3,1)="H",Osnovni_podaci!L24=3,Osnovni_podaci!G24=0,MID(Osnovni_podaci!D20,3,1)="H",MID(Osnovni_podaci!D20,8,1)="S"),SUBTOTAL( 9, L23:L25),A1)</f>
        <v>3356944</v>
      </c>
      <c r="N22" s="44"/>
      <c r="P22" s="183"/>
    </row>
    <row r="23" spans="2:16" ht="13.5" customHeight="1" x14ac:dyDescent="0.3">
      <c r="B23" s="15">
        <v>141</v>
      </c>
      <c r="C23" s="62" t="str">
        <f>VLOOKUP( $B23, T_Aop[], 5, 1)</f>
        <v>600, part 605</v>
      </c>
      <c r="D23" s="686" t="str">
        <f>VLOOKUP( $B23, T_Aop[], 6, 1)</f>
        <v xml:space="preserve">      a) Income from sale of merchandise goods to related legal entities</v>
      </c>
      <c r="E23" s="687"/>
      <c r="F23" s="687"/>
      <c r="G23" s="687"/>
      <c r="H23" s="688"/>
      <c r="I23" s="63">
        <f>VLOOKUP( $B23, T_Aop[], 4, 1)</f>
        <v>203</v>
      </c>
      <c r="J23" s="454"/>
      <c r="K23" s="454">
        <v>150419</v>
      </c>
      <c r="L23" s="455">
        <v>55980</v>
      </c>
      <c r="N23" s="44"/>
      <c r="P23" s="183"/>
    </row>
    <row r="24" spans="2:16" ht="22.5" customHeight="1" x14ac:dyDescent="0.3">
      <c r="B24" s="15">
        <v>142</v>
      </c>
      <c r="C24" s="58" t="str">
        <f>VLOOKUP( $B24, T_Aop[], 5, 1)</f>
        <v>601, 602, 603, part 605</v>
      </c>
      <c r="D24" s="683" t="str">
        <f>VLOOKUP( $B24, T_Aop[], 6, 1)</f>
        <v xml:space="preserve">      b) Income from sale of merchandise goods on domestic market</v>
      </c>
      <c r="E24" s="684"/>
      <c r="F24" s="684"/>
      <c r="G24" s="684"/>
      <c r="H24" s="685"/>
      <c r="I24" s="59">
        <f>VLOOKUP( $B24, T_Aop[], 4, 1)</f>
        <v>204</v>
      </c>
      <c r="J24" s="456"/>
      <c r="K24" s="456">
        <v>2148870</v>
      </c>
      <c r="L24" s="457">
        <v>3300964</v>
      </c>
      <c r="N24" s="44"/>
      <c r="P24" s="183"/>
    </row>
    <row r="25" spans="2:16" ht="13.5" customHeight="1" x14ac:dyDescent="0.3">
      <c r="B25" s="15">
        <v>143</v>
      </c>
      <c r="C25" s="62" t="str">
        <f>VLOOKUP( $B25, T_Aop[], 5, 1)</f>
        <v>604, part 605</v>
      </c>
      <c r="D25" s="686" t="str">
        <f>VLOOKUP( $B25, T_Aop[], 6, 1)</f>
        <v xml:space="preserve">      c) Income from sale of merchandise goods on foreign market</v>
      </c>
      <c r="E25" s="687"/>
      <c r="F25" s="687"/>
      <c r="G25" s="687"/>
      <c r="H25" s="688"/>
      <c r="I25" s="63">
        <f>VLOOKUP( $B25, T_Aop[], 4, 1)</f>
        <v>205</v>
      </c>
      <c r="J25" s="454"/>
      <c r="K25" s="454"/>
      <c r="L25" s="455"/>
      <c r="N25" s="44"/>
      <c r="P25" s="183"/>
    </row>
    <row r="26" spans="2:16" ht="13.5" customHeight="1" x14ac:dyDescent="0.3">
      <c r="B26" s="15">
        <v>144</v>
      </c>
      <c r="C26" s="58">
        <f>VLOOKUP( $B26, T_Aop[], 5, 1)</f>
        <v>61</v>
      </c>
      <c r="D26" s="683" t="str">
        <f>VLOOKUP( $B26, T_Aop[], 6, 1)</f>
        <v xml:space="preserve">    2. Income from sale of products (207 to 209)</v>
      </c>
      <c r="E26" s="684"/>
      <c r="F26" s="684"/>
      <c r="G26" s="684"/>
      <c r="H26" s="685"/>
      <c r="I26" s="59">
        <f>VLOOKUP( $B26, T_Aop[], 4, 1)</f>
        <v>206</v>
      </c>
      <c r="J26" s="456"/>
      <c r="K26" s="458">
        <f>IF(AND([0]!Godina=2022,MID(Osnovni_podaci!D20,3,1)="H",Osnovni_podaci!L24=3,Osnovni_podaci!G24=0,MID(Osnovni_podaci!D20,3,1)="H",MID(Osnovni_podaci!D20,8,1)="S"),SUBTOTAL( 9, K27:K29),A1)</f>
        <v>1689739</v>
      </c>
      <c r="L26" s="459">
        <f>IF(AND([0]!Godina=2022,MID(Osnovni_podaci!D20,3,1)="H",Osnovni_podaci!L24=3,Osnovni_podaci!G24=0,MID(Osnovni_podaci!D20,3,1)="H",MID(Osnovni_podaci!D20,8,1)="S"),SUBTOTAL( 9, L27:L29),A1)</f>
        <v>1256974</v>
      </c>
      <c r="N26" s="44"/>
      <c r="P26" s="183"/>
    </row>
    <row r="27" spans="2:16" ht="13.5" customHeight="1" x14ac:dyDescent="0.3">
      <c r="B27" s="15">
        <v>145</v>
      </c>
      <c r="C27" s="62" t="str">
        <f>VLOOKUP( $B27, T_Aop[], 5, 1)</f>
        <v>610, partо 615</v>
      </c>
      <c r="D27" s="686" t="str">
        <f>VLOOKUP( $B27, T_Aop[], 6, 1)</f>
        <v xml:space="preserve">      a) Income from sale of products to related legal entities</v>
      </c>
      <c r="E27" s="687"/>
      <c r="F27" s="687"/>
      <c r="G27" s="687"/>
      <c r="H27" s="688"/>
      <c r="I27" s="63">
        <f>VLOOKUP( $B27, T_Aop[], 4, 1)</f>
        <v>207</v>
      </c>
      <c r="J27" s="454"/>
      <c r="K27" s="454">
        <v>1302188</v>
      </c>
      <c r="L27" s="455">
        <v>903376</v>
      </c>
      <c r="N27" s="44"/>
      <c r="P27" s="183"/>
    </row>
    <row r="28" spans="2:16" ht="22.5" customHeight="1" x14ac:dyDescent="0.3">
      <c r="B28" s="15">
        <v>146</v>
      </c>
      <c r="C28" s="58" t="str">
        <f>VLOOKUP( $B28, T_Aop[], 5, 1)</f>
        <v>611, 612, 613, part 615</v>
      </c>
      <c r="D28" s="683" t="str">
        <f>VLOOKUP( $B28, T_Aop[], 6, 1)</f>
        <v xml:space="preserve">      b) Income from sale of products on domestic market</v>
      </c>
      <c r="E28" s="684"/>
      <c r="F28" s="684"/>
      <c r="G28" s="684"/>
      <c r="H28" s="685"/>
      <c r="I28" s="59">
        <f>VLOOKUP( $B28, T_Aop[], 4, 1)</f>
        <v>208</v>
      </c>
      <c r="J28" s="456"/>
      <c r="K28" s="456">
        <v>374182</v>
      </c>
      <c r="L28" s="457">
        <v>318068</v>
      </c>
      <c r="N28" s="44"/>
      <c r="P28" s="183"/>
    </row>
    <row r="29" spans="2:16" ht="13.5" customHeight="1" x14ac:dyDescent="0.3">
      <c r="B29" s="15">
        <v>147</v>
      </c>
      <c r="C29" s="62" t="str">
        <f>VLOOKUP( $B29, T_Aop[], 5, 1)</f>
        <v>614, part 615</v>
      </c>
      <c r="D29" s="686" t="str">
        <f>VLOOKUP( $B29, T_Aop[], 6, 1)</f>
        <v xml:space="preserve">      c) Income from sale of products on foreign market</v>
      </c>
      <c r="E29" s="687"/>
      <c r="F29" s="687"/>
      <c r="G29" s="687"/>
      <c r="H29" s="688"/>
      <c r="I29" s="63">
        <f>VLOOKUP( $B29, T_Aop[], 4, 1)</f>
        <v>209</v>
      </c>
      <c r="J29" s="454"/>
      <c r="K29" s="454">
        <v>13369</v>
      </c>
      <c r="L29" s="455">
        <v>35530</v>
      </c>
      <c r="N29" s="44"/>
      <c r="P29" s="183"/>
    </row>
    <row r="30" spans="2:16" ht="13.5" customHeight="1" x14ac:dyDescent="0.3">
      <c r="B30" s="15">
        <v>148</v>
      </c>
      <c r="C30" s="58">
        <f>VLOOKUP( $B30, T_Aop[], 5, 1)</f>
        <v>62</v>
      </c>
      <c r="D30" s="683" t="str">
        <f>VLOOKUP( $B30, T_Aop[], 6, 1)</f>
        <v xml:space="preserve">    3. Income from services (2011 to 213)</v>
      </c>
      <c r="E30" s="684"/>
      <c r="F30" s="684"/>
      <c r="G30" s="684"/>
      <c r="H30" s="685"/>
      <c r="I30" s="59">
        <f>VLOOKUP( $B30, T_Aop[], 4, 1)</f>
        <v>210</v>
      </c>
      <c r="J30" s="456"/>
      <c r="K30" s="153">
        <f>IF(AND([0]!Godina=2022,MID(Osnovni_podaci!D20,3,1)="H",Osnovni_podaci!L24=3,Osnovni_podaci!G24=0,MID(Osnovni_podaci!D20,3,1)="H",MID(Osnovni_podaci!D20,8,1)="S"),SUBTOTAL( 9, K31:K33),A1)</f>
        <v>561</v>
      </c>
      <c r="L30" s="481">
        <f>IF(AND([0]!Godina=2022,MID(Osnovni_podaci!D20,3,1)="H",Osnovni_podaci!L24=3,Osnovni_podaci!G24=0,MID(Osnovni_podaci!D20,3,1)="H",MID(Osnovni_podaci!D20,8,1)="S"),SUBTOTAL( 9, L31:L33),A1)</f>
        <v>659</v>
      </c>
      <c r="N30" s="44"/>
      <c r="P30" s="183"/>
    </row>
    <row r="31" spans="2:16" ht="13.5" customHeight="1" x14ac:dyDescent="0.3">
      <c r="B31" s="15">
        <v>149</v>
      </c>
      <c r="C31" s="62" t="str">
        <f>VLOOKUP( $B31, T_Aop[], 5, 1)</f>
        <v>620, part 625</v>
      </c>
      <c r="D31" s="686" t="str">
        <f>VLOOKUP( $B31, T_Aop[], 6, 1)</f>
        <v xml:space="preserve">      a) Income from services to related entities</v>
      </c>
      <c r="E31" s="687"/>
      <c r="F31" s="687"/>
      <c r="G31" s="687"/>
      <c r="H31" s="688"/>
      <c r="I31" s="63">
        <f>VLOOKUP( $B31, T_Aop[], 4, 1)</f>
        <v>211</v>
      </c>
      <c r="J31" s="454"/>
      <c r="K31" s="454"/>
      <c r="L31" s="455"/>
      <c r="N31" s="44"/>
      <c r="P31" s="183"/>
    </row>
    <row r="32" spans="2:16" ht="22.5" customHeight="1" x14ac:dyDescent="0.3">
      <c r="B32" s="15">
        <v>150</v>
      </c>
      <c r="C32" s="58" t="str">
        <f>VLOOKUP( $B32, T_Aop[], 5, 1)</f>
        <v>621, 622, 623, part 625</v>
      </c>
      <c r="D32" s="683" t="str">
        <f>VLOOKUP( $B32, T_Aop[], 6, 1)</f>
        <v xml:space="preserve">      b) Income from services on domestic market</v>
      </c>
      <c r="E32" s="684"/>
      <c r="F32" s="684"/>
      <c r="G32" s="684"/>
      <c r="H32" s="685"/>
      <c r="I32" s="59">
        <f>VLOOKUP( $B32, T_Aop[], 4, 1)</f>
        <v>212</v>
      </c>
      <c r="J32" s="456"/>
      <c r="K32" s="456">
        <v>561</v>
      </c>
      <c r="L32" s="457">
        <v>659</v>
      </c>
      <c r="N32" s="44"/>
      <c r="P32" s="183"/>
    </row>
    <row r="33" spans="2:16" ht="13.5" customHeight="1" x14ac:dyDescent="0.3">
      <c r="B33" s="15">
        <v>151</v>
      </c>
      <c r="C33" s="62" t="str">
        <f>VLOOKUP( $B33, T_Aop[], 5, 1)</f>
        <v>624, part 625</v>
      </c>
      <c r="D33" s="686" t="str">
        <f>VLOOKUP( $B33, T_Aop[], 6, 1)</f>
        <v xml:space="preserve">      c) Income from services on foreign market</v>
      </c>
      <c r="E33" s="687"/>
      <c r="F33" s="687"/>
      <c r="G33" s="687"/>
      <c r="H33" s="688"/>
      <c r="I33" s="63">
        <f>VLOOKUP( $B33, T_Aop[], 4, 1)</f>
        <v>213</v>
      </c>
      <c r="J33" s="454"/>
      <c r="K33" s="454"/>
      <c r="L33" s="455"/>
      <c r="N33" s="44"/>
      <c r="P33" s="183"/>
    </row>
    <row r="34" spans="2:16" ht="13.5" customHeight="1" x14ac:dyDescent="0.3">
      <c r="B34" s="15">
        <v>152</v>
      </c>
      <c r="C34" s="58">
        <f>VLOOKUP( $B34, T_Aop[], 5, 1)</f>
        <v>630</v>
      </c>
      <c r="D34" s="683" t="str">
        <f>VLOOKUP( $B34, T_Aop[], 6, 1)</f>
        <v xml:space="preserve">    4. Increase of value of products in stock</v>
      </c>
      <c r="E34" s="684"/>
      <c r="F34" s="684"/>
      <c r="G34" s="684"/>
      <c r="H34" s="685"/>
      <c r="I34" s="59">
        <f>VLOOKUP( $B34, T_Aop[], 4, 1)</f>
        <v>214</v>
      </c>
      <c r="J34" s="456"/>
      <c r="K34" s="456"/>
      <c r="L34" s="457"/>
      <c r="N34" s="44"/>
      <c r="P34" s="183"/>
    </row>
    <row r="35" spans="2:16" ht="13.5" customHeight="1" x14ac:dyDescent="0.3">
      <c r="B35" s="15">
        <v>153</v>
      </c>
      <c r="C35" s="62">
        <f>VLOOKUP( $B35, T_Aop[], 5, 1)</f>
        <v>631</v>
      </c>
      <c r="D35" s="686" t="str">
        <f>VLOOKUP( $B35, T_Aop[], 6, 1)</f>
        <v xml:space="preserve">    5. Decrease of value of products in stock</v>
      </c>
      <c r="E35" s="687"/>
      <c r="F35" s="687"/>
      <c r="G35" s="687"/>
      <c r="H35" s="688"/>
      <c r="I35" s="63">
        <f>VLOOKUP( $B35, T_Aop[], 4, 1)</f>
        <v>215</v>
      </c>
      <c r="J35" s="454"/>
      <c r="K35" s="454">
        <v>1357</v>
      </c>
      <c r="L35" s="455">
        <v>933</v>
      </c>
      <c r="N35" s="44"/>
      <c r="P35" s="183"/>
    </row>
    <row r="36" spans="2:16" ht="22.5" customHeight="1" x14ac:dyDescent="0.3">
      <c r="B36" s="15">
        <v>154</v>
      </c>
      <c r="C36" s="58" t="str">
        <f>VLOOKUP( $B36, T_Aop[], 5, 1)</f>
        <v>640 and 641</v>
      </c>
      <c r="D36" s="683" t="str">
        <f>VLOOKUP( $B36, T_Aop[], 6, 1)</f>
        <v xml:space="preserve">    6. Increase of the value of investment real estates and biological assets that are not subject to depreciation</v>
      </c>
      <c r="E36" s="684"/>
      <c r="F36" s="684"/>
      <c r="G36" s="684"/>
      <c r="H36" s="685"/>
      <c r="I36" s="59">
        <f>VLOOKUP( $B36, T_Aop[], 4, 1)</f>
        <v>216</v>
      </c>
      <c r="J36" s="456"/>
      <c r="K36" s="456"/>
      <c r="L36" s="457"/>
      <c r="N36" s="44"/>
      <c r="P36" s="183"/>
    </row>
    <row r="37" spans="2:16" ht="22.5" customHeight="1" x14ac:dyDescent="0.3">
      <c r="B37" s="15">
        <v>155</v>
      </c>
      <c r="C37" s="62" t="str">
        <f>VLOOKUP( $B37, T_Aop[], 5, 1)</f>
        <v>642 and 643</v>
      </c>
      <c r="D37" s="686" t="str">
        <f>VLOOKUP( $B37, T_Aop[], 6, 1)</f>
        <v xml:space="preserve">    7. Decrease of the value of investment real estates and biological assets that are not subject to depreciation</v>
      </c>
      <c r="E37" s="687"/>
      <c r="F37" s="687"/>
      <c r="G37" s="687"/>
      <c r="H37" s="688"/>
      <c r="I37" s="63">
        <f>VLOOKUP( $B37, T_Aop[], 4, 1)</f>
        <v>217</v>
      </c>
      <c r="J37" s="454"/>
      <c r="K37" s="454"/>
      <c r="L37" s="455"/>
      <c r="N37" s="44"/>
      <c r="P37" s="183"/>
    </row>
    <row r="38" spans="2:16" ht="11.25" customHeight="1" x14ac:dyDescent="0.3">
      <c r="B38" s="15">
        <v>156</v>
      </c>
      <c r="C38" s="58" t="str">
        <f>VLOOKUP( $B38, T_Aop[], 5, 1)</f>
        <v>650 to 659</v>
      </c>
      <c r="D38" s="683" t="str">
        <f>VLOOKUP( $B38, T_Aop[], 6, 1)</f>
        <v xml:space="preserve">    8. Other operating income</v>
      </c>
      <c r="E38" s="684"/>
      <c r="F38" s="684"/>
      <c r="G38" s="684"/>
      <c r="H38" s="685"/>
      <c r="I38" s="59">
        <f>VLOOKUP( $B38, T_Aop[], 4, 1)</f>
        <v>218</v>
      </c>
      <c r="J38" s="456"/>
      <c r="K38" s="456">
        <v>39491</v>
      </c>
      <c r="L38" s="457">
        <v>8400</v>
      </c>
      <c r="N38" s="44"/>
      <c r="P38" s="183"/>
    </row>
    <row r="39" spans="2:16" ht="12.75" customHeight="1" x14ac:dyDescent="0.3">
      <c r="B39" s="15">
        <v>157</v>
      </c>
      <c r="C39" s="62">
        <f>VLOOKUP( $B39, T_Aop[], 5, 1)</f>
        <v>0</v>
      </c>
      <c r="D39" s="692" t="str">
        <f>VLOOKUP( $B39, T_Aop[], 6, 1)</f>
        <v xml:space="preserve">  II OPERATING EXPENSES (220 + 221 + 222 + 223 + 226 + 227 + 234 + 235 + 236)</v>
      </c>
      <c r="E39" s="693"/>
      <c r="F39" s="693"/>
      <c r="G39" s="693"/>
      <c r="H39" s="694"/>
      <c r="I39" s="179">
        <f>VLOOKUP( $B39, T_Aop[], 4, 1)</f>
        <v>219</v>
      </c>
      <c r="J39" s="454"/>
      <c r="K39" s="67">
        <f>IF(AND([0]!Godina=2022,MID(Osnovni_podaci!D20,3,1)="H",Osnovni_podaci!L24=3,Osnovni_podaci!G24=0,MID(Osnovni_podaci!D20,3,1)="H",MID(Osnovni_podaci!D20,8,1)="S"),SUBTOTAL( 9, K40:K56),A1)</f>
        <v>3598856</v>
      </c>
      <c r="L39" s="68">
        <f>IF(AND([0]!Godina=2022,MID(Osnovni_podaci!D20,3,1)="H",Osnovni_podaci!L24=3,Osnovni_podaci!G24=0,MID(Osnovni_podaci!D20,3,1)="H",MID(Osnovni_podaci!D20,8,1)="S"),SUBTOTAL( 9, L40:L56),A1)</f>
        <v>3796376</v>
      </c>
      <c r="N39" s="44"/>
      <c r="P39" s="183"/>
    </row>
    <row r="40" spans="2:16" ht="14.25" customHeight="1" x14ac:dyDescent="0.3">
      <c r="B40" s="15">
        <v>158</v>
      </c>
      <c r="C40" s="58" t="str">
        <f>VLOOKUP( $B40, T_Aop[], 5, 1)</f>
        <v>500 to 502</v>
      </c>
      <c r="D40" s="683" t="str">
        <f>VLOOKUP( $B40, T_Aop[], 6, 1)</f>
        <v xml:space="preserve">    1. Merchandise goods sold at cost</v>
      </c>
      <c r="E40" s="684"/>
      <c r="F40" s="684"/>
      <c r="G40" s="684"/>
      <c r="H40" s="685"/>
      <c r="I40" s="59">
        <f>VLOOKUP( $B40, T_Aop[], 4, 1)</f>
        <v>220</v>
      </c>
      <c r="J40" s="456">
        <v>11</v>
      </c>
      <c r="K40" s="456">
        <v>1697044</v>
      </c>
      <c r="L40" s="457">
        <v>2170630</v>
      </c>
      <c r="N40" s="44"/>
      <c r="P40" s="183"/>
    </row>
    <row r="41" spans="2:16" ht="14.25" customHeight="1" x14ac:dyDescent="0.3">
      <c r="B41" s="15">
        <v>159</v>
      </c>
      <c r="C41" s="62" t="str">
        <f>VLOOKUP( $B41, T_Aop[], 5, 1)</f>
        <v>510 to 512</v>
      </c>
      <c r="D41" s="686" t="str">
        <f>VLOOKUP( $B41, T_Aop[], 6, 1)</f>
        <v xml:space="preserve">    2. Materials expenses</v>
      </c>
      <c r="E41" s="687"/>
      <c r="F41" s="687"/>
      <c r="G41" s="687"/>
      <c r="H41" s="688"/>
      <c r="I41" s="63">
        <f>VLOOKUP( $B41, T_Aop[], 4, 1)</f>
        <v>221</v>
      </c>
      <c r="J41" s="454">
        <v>11</v>
      </c>
      <c r="K41" s="454">
        <v>87332</v>
      </c>
      <c r="L41" s="455">
        <v>54997</v>
      </c>
      <c r="N41" s="44"/>
      <c r="P41" s="183"/>
    </row>
    <row r="42" spans="2:16" ht="14.25" customHeight="1" x14ac:dyDescent="0.3">
      <c r="B42" s="15">
        <v>160</v>
      </c>
      <c r="C42" s="58">
        <f>VLOOKUP( $B42, T_Aop[], 5, 1)</f>
        <v>513</v>
      </c>
      <c r="D42" s="683" t="str">
        <f>VLOOKUP( $B42, T_Aop[], 6, 1)</f>
        <v xml:space="preserve">    3. Fuel and energy expenses</v>
      </c>
      <c r="E42" s="684"/>
      <c r="F42" s="684"/>
      <c r="G42" s="684"/>
      <c r="H42" s="685"/>
      <c r="I42" s="59">
        <f>VLOOKUP( $B42, T_Aop[], 4, 1)</f>
        <v>222</v>
      </c>
      <c r="J42" s="456">
        <v>11</v>
      </c>
      <c r="K42" s="456">
        <v>511924</v>
      </c>
      <c r="L42" s="457">
        <v>377650</v>
      </c>
      <c r="N42" s="44"/>
      <c r="P42" s="183"/>
    </row>
    <row r="43" spans="2:16" ht="22.5" customHeight="1" x14ac:dyDescent="0.3">
      <c r="B43" s="15">
        <v>161</v>
      </c>
      <c r="C43" s="62">
        <f>VLOOKUP( $B43, T_Aop[], 5, 1)</f>
        <v>52</v>
      </c>
      <c r="D43" s="686" t="str">
        <f>VLOOKUP( $B43, T_Aop[], 6, 1)</f>
        <v xml:space="preserve">    4. Wages, salaries and other employee benefits expenses (224 + 225)</v>
      </c>
      <c r="E43" s="687"/>
      <c r="F43" s="687"/>
      <c r="G43" s="687"/>
      <c r="H43" s="688"/>
      <c r="I43" s="63">
        <f>VLOOKUP( $B43, T_Aop[], 4, 1)</f>
        <v>223</v>
      </c>
      <c r="J43" s="454">
        <v>12</v>
      </c>
      <c r="K43" s="460">
        <f>IF(AND([0]!Godina=2022,MID(Osnovni_podaci!D20,3,1)="H",Osnovni_podaci!L24=3,Osnovni_podaci!G24=0,MID(Osnovni_podaci!D20,3,1)="H",MID(Osnovni_podaci!D20,8,1)="S"),SUBTOTAL( 9, K44:K45),A1)</f>
        <v>496344</v>
      </c>
      <c r="L43" s="461">
        <f>IF(AND([0]!Godina=2022,MID(Osnovni_podaci!D20,3,1)="H",Osnovni_podaci!L24=3,Osnovni_podaci!G24=0,MID(Osnovni_podaci!D20,3,1)="H",MID(Osnovni_podaci!D20,8,1)="S"),SUBTOTAL( 9, L44:L45),A1)</f>
        <v>445670</v>
      </c>
      <c r="N43" s="44"/>
      <c r="P43" s="183"/>
    </row>
    <row r="44" spans="2:16" ht="14.25" customHeight="1" x14ac:dyDescent="0.3">
      <c r="B44" s="15">
        <v>162</v>
      </c>
      <c r="C44" s="58" t="str">
        <f>VLOOKUP( $B44, T_Aop[], 5, 1)</f>
        <v>520 and 523</v>
      </c>
      <c r="D44" s="683" t="str">
        <f>VLOOKUP( $B44, T_Aop[], 6, 1)</f>
        <v xml:space="preserve">      a) Gross wages and gross salaries</v>
      </c>
      <c r="E44" s="684"/>
      <c r="F44" s="684"/>
      <c r="G44" s="684"/>
      <c r="H44" s="685"/>
      <c r="I44" s="59">
        <f>VLOOKUP( $B44, T_Aop[], 4, 1)</f>
        <v>224</v>
      </c>
      <c r="J44" s="456"/>
      <c r="K44" s="456">
        <v>422112</v>
      </c>
      <c r="L44" s="457">
        <v>391667</v>
      </c>
      <c r="N44" s="44"/>
      <c r="P44" s="183"/>
    </row>
    <row r="45" spans="2:16" ht="14.25" customHeight="1" x14ac:dyDescent="0.3">
      <c r="B45" s="15">
        <v>163</v>
      </c>
      <c r="C45" s="62" t="str">
        <f>VLOOKUP( $B45, T_Aop[], 5, 1)</f>
        <v>524 to 529</v>
      </c>
      <c r="D45" s="686" t="str">
        <f>VLOOKUP( $B45, T_Aop[], 6, 1)</f>
        <v xml:space="preserve">      b) Other employee expenses</v>
      </c>
      <c r="E45" s="687"/>
      <c r="F45" s="687"/>
      <c r="G45" s="687"/>
      <c r="H45" s="688"/>
      <c r="I45" s="63">
        <f>VLOOKUP( $B45, T_Aop[], 4, 1)</f>
        <v>225</v>
      </c>
      <c r="J45" s="454"/>
      <c r="K45" s="454">
        <v>74232</v>
      </c>
      <c r="L45" s="455">
        <v>54003</v>
      </c>
      <c r="N45" s="44"/>
      <c r="P45" s="183"/>
    </row>
    <row r="46" spans="2:16" ht="14.25" customHeight="1" x14ac:dyDescent="0.3">
      <c r="B46" s="15">
        <v>164</v>
      </c>
      <c r="C46" s="58" t="str">
        <f>VLOOKUP( $B46, T_Aop[], 5, 1)</f>
        <v>530 to 539</v>
      </c>
      <c r="D46" s="683" t="str">
        <f>VLOOKUP( $B46, T_Aop[], 6, 1)</f>
        <v xml:space="preserve">    5. Services expense</v>
      </c>
      <c r="E46" s="684"/>
      <c r="F46" s="684"/>
      <c r="G46" s="684"/>
      <c r="H46" s="685"/>
      <c r="I46" s="59">
        <f>VLOOKUP( $B46, T_Aop[], 4, 1)</f>
        <v>226</v>
      </c>
      <c r="J46" s="456">
        <v>13</v>
      </c>
      <c r="K46" s="456">
        <v>242321</v>
      </c>
      <c r="L46" s="457">
        <v>226761</v>
      </c>
      <c r="N46" s="44"/>
      <c r="P46" s="183"/>
    </row>
    <row r="47" spans="2:16" ht="14.25" customHeight="1" x14ac:dyDescent="0.3">
      <c r="B47" s="15">
        <v>165</v>
      </c>
      <c r="C47" s="62">
        <f>VLOOKUP( $B47, T_Aop[], 5, 1)</f>
        <v>54</v>
      </c>
      <c r="D47" s="686" t="str">
        <f>VLOOKUP( $B47, T_Aop[], 6, 1)</f>
        <v xml:space="preserve">    6. Depreciation and provisions expenses (224 + 225)</v>
      </c>
      <c r="E47" s="687"/>
      <c r="F47" s="687"/>
      <c r="G47" s="687"/>
      <c r="H47" s="688"/>
      <c r="I47" s="63">
        <f>VLOOKUP( $B47, T_Aop[], 4, 1)</f>
        <v>227</v>
      </c>
      <c r="J47" s="454"/>
      <c r="K47" s="460">
        <f>IF(AND([0]!Godina=2022,MID(Osnovni_podaci!D20,3,1)="H",Osnovni_podaci!L24=3,Osnovni_podaci!G24=0,MID(Osnovni_podaci!D20,3,1)="H",MID(Osnovni_podaci!D20,8,1)="S"),SUBTOTAL( 9, K48:K53),A1)</f>
        <v>358501</v>
      </c>
      <c r="L47" s="461">
        <f>IF(AND([0]!Godina=2022,MID(Osnovni_podaci!D20,3,1)="H",Osnovni_podaci!L24=3,Osnovni_podaci!G24=0,MID(Osnovni_podaci!D20,3,1)="H",MID(Osnovni_podaci!D20,8,1)="S"),SUBTOTAL( 9, L48:L53),A1)</f>
        <v>390544</v>
      </c>
      <c r="N47" s="44"/>
      <c r="P47" s="183"/>
    </row>
    <row r="48" spans="2:16" ht="14.25" customHeight="1" x14ac:dyDescent="0.3">
      <c r="B48" s="15">
        <v>166</v>
      </c>
      <c r="C48" s="58">
        <f>VLOOKUP( $B48, T_Aop[], 5, 1)</f>
        <v>540</v>
      </c>
      <c r="D48" s="683" t="str">
        <f>VLOOKUP( $B48, T_Aop[], 6, 1)</f>
        <v xml:space="preserve">      6.1 Depreciation (229 to 232)</v>
      </c>
      <c r="E48" s="684"/>
      <c r="F48" s="684"/>
      <c r="G48" s="684"/>
      <c r="H48" s="685"/>
      <c r="I48" s="59">
        <f>VLOOKUP( $B48, T_Aop[], 4, 1)</f>
        <v>228</v>
      </c>
      <c r="J48" s="456">
        <v>14</v>
      </c>
      <c r="K48" s="458">
        <f>IF(AND([0]!Godina=2022,MID(Osnovni_podaci!D20,3,1)="H",Osnovni_podaci!L24=3,Osnovni_podaci!G24=0,MID(Osnovni_podaci!D20,3,1)="H",MID(Osnovni_podaci!D20,8,1)="S"),SUBTOTAL( 9, K49:K52),A1)</f>
        <v>358501</v>
      </c>
      <c r="L48" s="459">
        <f>IF(AND([0]!Godina=2022,MID(Osnovni_podaci!D20,3,1)="H",Osnovni_podaci!L24=3,Osnovni_podaci!G24=0,MID(Osnovni_podaci!D20,3,1)="H",MID(Osnovni_podaci!D20,8,1)="S"),SUBTOTAL( 9, L49:L52),A1)</f>
        <v>390544</v>
      </c>
      <c r="N48" s="44"/>
      <c r="P48" s="183"/>
    </row>
    <row r="49" spans="2:16" ht="14.25" customHeight="1" x14ac:dyDescent="0.3">
      <c r="B49" s="15">
        <v>167</v>
      </c>
      <c r="C49" s="62" t="str">
        <f>VLOOKUP( $B49, T_Aop[], 5, 1)</f>
        <v>part 540</v>
      </c>
      <c r="D49" s="686" t="str">
        <f>VLOOKUP( $B49, T_Aop[], 6, 1)</f>
        <v xml:space="preserve">        a) Depreciation of real estates, plants and equipment</v>
      </c>
      <c r="E49" s="687"/>
      <c r="F49" s="687"/>
      <c r="G49" s="687"/>
      <c r="H49" s="688"/>
      <c r="I49" s="63">
        <f>VLOOKUP( $B49, T_Aop[], 4, 1)</f>
        <v>229</v>
      </c>
      <c r="J49" s="454"/>
      <c r="K49" s="454">
        <v>358501</v>
      </c>
      <c r="L49" s="455">
        <v>390544</v>
      </c>
      <c r="N49" s="44"/>
      <c r="P49" s="183"/>
    </row>
    <row r="50" spans="2:16" ht="14.25" customHeight="1" x14ac:dyDescent="0.3">
      <c r="B50" s="15">
        <v>168</v>
      </c>
      <c r="C50" s="58" t="str">
        <f>IF(AND([0]!Godina=2022,MID(Osnovni_podaci!D20,3,1)="H",Osnovni_podaci!L24=3,Osnovni_podaci!G24=0,MID(Osnovni_podaci!D20,3,1)="H",MID(Osnovni_podaci!D20,8,1)="S"),VLOOKUP( $B50, T_Aop[], 5, 1),A1)</f>
        <v>part 540</v>
      </c>
      <c r="D50" s="683" t="str">
        <f>VLOOKUP( $B50, T_Aop[], 6, 1)</f>
        <v xml:space="preserve">        b) Depreciation of investment real estates</v>
      </c>
      <c r="E50" s="684"/>
      <c r="F50" s="684"/>
      <c r="G50" s="684"/>
      <c r="H50" s="685"/>
      <c r="I50" s="59">
        <f>VLOOKUP( $B50, T_Aop[], 4, 1)</f>
        <v>230</v>
      </c>
      <c r="J50" s="456"/>
      <c r="K50" s="456"/>
      <c r="L50" s="457"/>
      <c r="N50" s="44"/>
      <c r="P50" s="183"/>
    </row>
    <row r="51" spans="2:16" ht="14.25" customHeight="1" x14ac:dyDescent="0.3">
      <c r="B51" s="15">
        <v>169</v>
      </c>
      <c r="C51" s="62" t="str">
        <f>IF(AND([0]!Godina=2022,MID(Osnovni_podaci!D20,3,1)="H",Osnovni_podaci!L24=3,Osnovni_podaci!G24=0,MID(Osnovni_podaci!D20,3,1)="H",MID(Osnovni_podaci!D20,8,1)="S"),VLOOKUP( $B51, T_Aop[], 5, 1),A1)</f>
        <v>part 540</v>
      </c>
      <c r="D51" s="686" t="str">
        <f>VLOOKUP( $B51, T_Aop[], 6, 1)</f>
        <v xml:space="preserve">        c) Depreciation of leased assets</v>
      </c>
      <c r="E51" s="687"/>
      <c r="F51" s="687"/>
      <c r="G51" s="687"/>
      <c r="H51" s="688"/>
      <c r="I51" s="63">
        <f>VLOOKUP( $B51, T_Aop[], 4, 1)</f>
        <v>231</v>
      </c>
      <c r="J51" s="454"/>
      <c r="K51" s="454"/>
      <c r="L51" s="455"/>
      <c r="N51" s="44"/>
      <c r="P51" s="183"/>
    </row>
    <row r="52" spans="2:16" ht="14.25" customHeight="1" x14ac:dyDescent="0.3">
      <c r="B52" s="15">
        <v>170</v>
      </c>
      <c r="C52" s="58" t="str">
        <f>IF(AND([0]!Godina=2022,MID(Osnovni_podaci!D20,3,1)="H",Osnovni_podaci!L24=3,Osnovni_podaci!G24=0,MID(Osnovni_podaci!D20,3,1)="H",MID(Osnovni_podaci!D20,8,1)="S"),VLOOKUP( $B52, T_Aop[], 5, 1),A1)</f>
        <v>part 540</v>
      </c>
      <c r="D52" s="683" t="str">
        <f>VLOOKUP( $B52, T_Aop[], 6, 1)</f>
        <v xml:space="preserve">        d) Depreciation of other assets</v>
      </c>
      <c r="E52" s="684"/>
      <c r="F52" s="684"/>
      <c r="G52" s="684"/>
      <c r="H52" s="685"/>
      <c r="I52" s="59">
        <f>VLOOKUP( $B52, T_Aop[], 4, 1)</f>
        <v>232</v>
      </c>
      <c r="J52" s="456"/>
      <c r="K52" s="456"/>
      <c r="L52" s="457"/>
      <c r="N52" s="44"/>
      <c r="P52" s="183"/>
    </row>
    <row r="53" spans="2:16" ht="14.25" customHeight="1" x14ac:dyDescent="0.3">
      <c r="B53" s="15">
        <v>171</v>
      </c>
      <c r="C53" s="62">
        <f>IF(AND([0]!Godina=2022,MID(Osnovni_podaci!D20,3,1)="H",Osnovni_podaci!L24=3,Osnovni_podaci!G24=0,MID(Osnovni_podaci!D20,3,1)="H",MID(Osnovni_podaci!D20,8,1)="S"),VLOOKUP( $B53, T_Aop[], 5, 1),A1)</f>
        <v>541</v>
      </c>
      <c r="D53" s="686" t="str">
        <f>VLOOKUP( $B53, T_Aop[], 6, 1)</f>
        <v xml:space="preserve">      6.2 Provisions expenses</v>
      </c>
      <c r="E53" s="687"/>
      <c r="F53" s="687"/>
      <c r="G53" s="687"/>
      <c r="H53" s="688"/>
      <c r="I53" s="63">
        <f>VLOOKUP( $B53, T_Aop[], 4, 1)</f>
        <v>233</v>
      </c>
      <c r="J53" s="454"/>
      <c r="K53" s="454"/>
      <c r="L53" s="455"/>
      <c r="N53" s="44"/>
      <c r="P53" s="183"/>
    </row>
    <row r="54" spans="2:16" ht="14.25" customHeight="1" x14ac:dyDescent="0.3">
      <c r="B54" s="15">
        <v>172</v>
      </c>
      <c r="C54" s="58" t="str">
        <f>IF(AND([0]!Godina=2022,MID(Osnovni_podaci!D20,3,1)="H",Osnovni_podaci!L24=3,Osnovni_podaci!G24=0,MID(Osnovni_podaci!D20,3,1)="H",MID(Osnovni_podaci!D20,8,1)="S"),VLOOKUP( $B54, T_Aop[], 5, 1),A1)</f>
        <v>56 except 555 и 556</v>
      </c>
      <c r="D54" s="683" t="str">
        <f>VLOOKUP( $B54, T_Aop[], 6, 1)</f>
        <v xml:space="preserve">    7. Immaterial expense (excluding taxes and contribution)</v>
      </c>
      <c r="E54" s="684"/>
      <c r="F54" s="684"/>
      <c r="G54" s="684"/>
      <c r="H54" s="685"/>
      <c r="I54" s="59">
        <f>VLOOKUP( $B54, T_Aop[], 4, 1)</f>
        <v>234</v>
      </c>
      <c r="J54" s="456">
        <v>15</v>
      </c>
      <c r="K54" s="456">
        <v>119244</v>
      </c>
      <c r="L54" s="457">
        <v>61993</v>
      </c>
      <c r="N54" s="44"/>
      <c r="P54" s="183"/>
    </row>
    <row r="55" spans="2:16" ht="14.25" customHeight="1" x14ac:dyDescent="0.3">
      <c r="B55" s="15">
        <v>173</v>
      </c>
      <c r="C55" s="62">
        <f>IF(AND([0]!Godina=2022,MID(Osnovni_podaci!D20,3,1)="H",Osnovni_podaci!L24=3,Osnovni_podaci!G24=0,MID(Osnovni_podaci!D20,3,1)="H",MID(Osnovni_podaci!D20,8,1)="S"),VLOOKUP( $B55, T_Aop[], 5, 1),A1)</f>
        <v>555</v>
      </c>
      <c r="D55" s="686" t="str">
        <f>VLOOKUP( $B55, T_Aop[], 6, 1)</f>
        <v xml:space="preserve">    8. Tax expense</v>
      </c>
      <c r="E55" s="687"/>
      <c r="F55" s="687"/>
      <c r="G55" s="687"/>
      <c r="H55" s="688"/>
      <c r="I55" s="63">
        <f>VLOOKUP( $B55, T_Aop[], 4, 1)</f>
        <v>235</v>
      </c>
      <c r="J55" s="454">
        <v>15</v>
      </c>
      <c r="K55" s="454">
        <v>85683</v>
      </c>
      <c r="L55" s="455">
        <v>67739</v>
      </c>
      <c r="N55" s="44"/>
      <c r="P55" s="183"/>
    </row>
    <row r="56" spans="2:16" ht="14.25" customHeight="1" x14ac:dyDescent="0.3">
      <c r="B56" s="15">
        <v>174</v>
      </c>
      <c r="C56" s="58">
        <f>IF(AND([0]!Godina=2022,MID(Osnovni_podaci!D20,3,1)="H",Osnovni_podaci!L24=3,Osnovni_podaci!G24=0,MID(Osnovni_podaci!D20,3,1)="H",MID(Osnovni_podaci!D20,8,1)="S"),VLOOKUP( $B56, T_Aop[], 5, 1),A1)</f>
        <v>556</v>
      </c>
      <c r="D56" s="683" t="str">
        <f>VLOOKUP( $B56, T_Aop[], 6, 1)</f>
        <v xml:space="preserve">    9. Contribution expense</v>
      </c>
      <c r="E56" s="684"/>
      <c r="F56" s="684"/>
      <c r="G56" s="684"/>
      <c r="H56" s="685"/>
      <c r="I56" s="59">
        <f>VLOOKUP( $B56, T_Aop[], 4, 1)</f>
        <v>236</v>
      </c>
      <c r="J56" s="456">
        <v>15</v>
      </c>
      <c r="K56" s="456">
        <v>463</v>
      </c>
      <c r="L56" s="457">
        <v>392</v>
      </c>
      <c r="N56" s="44"/>
      <c r="P56" s="183"/>
    </row>
    <row r="57" spans="2:16" ht="12.75" customHeight="1" x14ac:dyDescent="0.3">
      <c r="B57" s="15">
        <v>175</v>
      </c>
      <c r="C57" s="62">
        <f>IF(AND([0]!Godina=2022,MID(Osnovni_podaci!D20,3,1)="H",Osnovni_podaci!L24=3,Osnovni_podaci!G24=0,MID(Osnovni_podaci!D20,3,1)="H",MID(Osnovni_podaci!D20,8,1)="S"),VLOOKUP( $B57, T_Aop[], 5, 1),A1)</f>
        <v>0</v>
      </c>
      <c r="D57" s="692" t="str">
        <f>VLOOKUP( $B57, T_Aop[], 6, 1)</f>
        <v xml:space="preserve">  B. OPERATING INCOME (201 - 219)</v>
      </c>
      <c r="E57" s="693"/>
      <c r="F57" s="693"/>
      <c r="G57" s="693"/>
      <c r="H57" s="694"/>
      <c r="I57" s="179">
        <f>VLOOKUP( $B57, T_Aop[], 4, 1)</f>
        <v>237</v>
      </c>
      <c r="J57" s="454"/>
      <c r="K57" s="67">
        <f>IF(AND([0]!Godina=2022,MID(Osnovni_podaci!D20,3,1)="H",Osnovni_podaci!L24=3,Osnovni_podaci!G24=0,MID(Osnovni_podaci!D20,3,1)="H",MID(Osnovni_podaci!D20,8,1)="S"),IF( SUBTOTAL( 9, K21:K34,K36,K38) - SUBTOTAL( 9, K35, K37, K39:K56)  &lt;= 0, 0, ABS( SUBTOTAL( 9, K21:K34,K36,K38) - SUBTOTAL( 9, K35, K37, K39:K56))),A1)</f>
        <v>428867</v>
      </c>
      <c r="L57" s="68">
        <f>IF(AND([0]!Godina=2022,MID(Osnovni_podaci!D20,3,1)="H",Osnovni_podaci!L24=3,Osnovni_podaci!G24=0,MID(Osnovni_podaci!D20,3,1)="H",MID(Osnovni_podaci!D20,8,1)="S"),IF( SUBTOTAL( 9, L21:L34,L36,L38) - SUBTOTAL( 9, L35, L37, L39:L56)  &lt;= 0, 0, ABS( SUBTOTAL( 9, L21:L34,L36,L38) - SUBTOTAL( 9, L35, L37, L39:L56))),A1)</f>
        <v>825668</v>
      </c>
      <c r="N57" s="44"/>
      <c r="P57" s="183"/>
    </row>
    <row r="58" spans="2:16" ht="12.75" customHeight="1" x14ac:dyDescent="0.3">
      <c r="B58" s="15">
        <v>176</v>
      </c>
      <c r="C58" s="58">
        <f>IF(AND([0]!Godina=2022,MID(Osnovni_podaci!D20,3,1)="H",Osnovni_podaci!L24=3,Osnovni_podaci!G24=0,MID(Osnovni_podaci!D20,3,1)="H",MID(Osnovni_podaci!D20,8,1)="S"),VLOOKUP( $B58, T_Aop[], 5, 1),A1)</f>
        <v>0</v>
      </c>
      <c r="D58" s="689" t="str">
        <f>VLOOKUP( $B58, T_Aop[], 6, 1)</f>
        <v xml:space="preserve">  C. OPERATING LOSS (219 - 201)</v>
      </c>
      <c r="E58" s="690"/>
      <c r="F58" s="690"/>
      <c r="G58" s="690"/>
      <c r="H58" s="691"/>
      <c r="I58" s="178">
        <f>VLOOKUP( $B58, T_Aop[], 4, 1)</f>
        <v>238</v>
      </c>
      <c r="J58" s="456"/>
      <c r="K58" s="254">
        <f>IF(AND([0]!Godina=2022,MID(Osnovni_podaci!D20,3,1)="H",Osnovni_podaci!L24=3,Osnovni_podaci!G24=0,MID(Osnovni_podaci!D20,3,1)="H",MID(Osnovni_podaci!D20,8,1)="S"),IF( SUBTOTAL( 9, K21:K34,K36,K38) - SUBTOTAL( 9, K35, K37, K39:K56)  &gt;= 0, 0, ABS( SUBTOTAL( 9, K21:K34,K36,K38) - SUBTOTAL( 9, K35, K37, K39:K56))),A1)</f>
        <v>0</v>
      </c>
      <c r="L58" s="403">
        <f>IF(AND([0]!Godina=2022,MID(Osnovni_podaci!D20,3,1)="H",Osnovni_podaci!L24=3,Osnovni_podaci!G24=0,MID(Osnovni_podaci!D20,3,1)="H",MID(Osnovni_podaci!D20,8,1)="S"),IF( SUBTOTAL( 9, L21:L34,L36,L38) - SUBTOTAL( 9, L35, L37, L39:L56)  &gt;= 0, 0, ABS( SUBTOTAL( 9, L21:L34,L36,L38) - SUBTOTAL( 9, L35, L37, L39:L56))),A1)</f>
        <v>0</v>
      </c>
      <c r="N58" s="44"/>
      <c r="P58" s="183"/>
    </row>
    <row r="59" spans="2:16" ht="22.5" customHeight="1" x14ac:dyDescent="0.3">
      <c r="B59" s="15">
        <v>177</v>
      </c>
      <c r="C59" s="62">
        <f>IF(AND([0]!Godina=2022,MID(Osnovni_podaci!D20,3,1)="H",Osnovni_podaci!L24=3,Osnovni_podaci!G24=0,MID(Osnovni_podaci!D20,3,1)="H",MID(Osnovni_podaci!D20,8,1)="S"),VLOOKUP( $B59, T_Aop[], 5, 1),A1)</f>
        <v>66</v>
      </c>
      <c r="D59" s="692" t="str">
        <f>VLOOKUP( $B59, T_Aop[], 6, 1)</f>
        <v xml:space="preserve">  D. FINANCE INCOME AND EXPENSES  I FINANCE INCOME (240 to 243)</v>
      </c>
      <c r="E59" s="693"/>
      <c r="F59" s="693"/>
      <c r="G59" s="693"/>
      <c r="H59" s="694"/>
      <c r="I59" s="179">
        <f>VLOOKUP( $B59, T_Aop[], 4, 1)</f>
        <v>239</v>
      </c>
      <c r="J59" s="454">
        <v>17</v>
      </c>
      <c r="K59" s="67">
        <f>IF(AND([0]!Godina=2022,MID(Osnovni_podaci!D20,3,1)="H",Osnovni_podaci!L24=3,Osnovni_podaci!G24=0,MID(Osnovni_podaci!D20,3,1)="H",MID(Osnovni_podaci!D20,8,1)="S"),SUBTOTAL( 9, K60:K63),A1)</f>
        <v>169</v>
      </c>
      <c r="L59" s="68">
        <f>IF(AND([0]!Godina=2022,MID(Osnovni_podaci!D20,3,1)="H",Osnovni_podaci!L24=3,Osnovni_podaci!G24=0,MID(Osnovni_podaci!D20,3,1)="H",MID(Osnovni_podaci!D20,8,1)="S"),SUBTOTAL( 9, L60:L63),A1)</f>
        <v>1795</v>
      </c>
      <c r="N59" s="44"/>
      <c r="P59" s="183"/>
    </row>
    <row r="60" spans="2:16" ht="13.5" customHeight="1" x14ac:dyDescent="0.3">
      <c r="B60" s="15">
        <v>178</v>
      </c>
      <c r="C60" s="58" t="str">
        <f>IF(AND([0]!Godina=2022,MID(Osnovni_podaci!D20,3,1)="H",Osnovni_podaci!L24=3,Osnovni_podaci!G24=0,MID(Osnovni_podaci!D20,3,1)="H",MID(Osnovni_podaci!D20,8,1)="S"),VLOOKUP( $B60, T_Aop[], 5, 1),A1)</f>
        <v>660, 661</v>
      </c>
      <c r="D60" s="683" t="str">
        <f>VLOOKUP( $B60, T_Aop[], 6, 1)</f>
        <v xml:space="preserve">    1. Interest income</v>
      </c>
      <c r="E60" s="684"/>
      <c r="F60" s="684"/>
      <c r="G60" s="684"/>
      <c r="H60" s="685"/>
      <c r="I60" s="59">
        <f>VLOOKUP( $B60, T_Aop[], 4, 1)</f>
        <v>240</v>
      </c>
      <c r="J60" s="456"/>
      <c r="K60" s="456">
        <v>169</v>
      </c>
      <c r="L60" s="457">
        <v>1795</v>
      </c>
      <c r="N60" s="44"/>
      <c r="P60" s="183"/>
    </row>
    <row r="61" spans="2:16" ht="13.5" customHeight="1" x14ac:dyDescent="0.3">
      <c r="B61" s="15">
        <v>179</v>
      </c>
      <c r="C61" s="62">
        <f>IF(AND([0]!Godina=2022,MID(Osnovni_podaci!D20,3,1)="H",Osnovni_podaci!L24=3,Osnovni_podaci!G24=0,MID(Osnovni_podaci!D20,3,1)="H",MID(Osnovni_podaci!D20,8,1)="S"),VLOOKUP( $B61, T_Aop[], 5, 1),A1)</f>
        <v>662</v>
      </c>
      <c r="D61" s="686" t="str">
        <f>VLOOKUP( $B61, T_Aop[], 6, 1)</f>
        <v xml:space="preserve">    2. Foreign exchange gains</v>
      </c>
      <c r="E61" s="687"/>
      <c r="F61" s="687"/>
      <c r="G61" s="687"/>
      <c r="H61" s="688"/>
      <c r="I61" s="63">
        <f>VLOOKUP( $B61, T_Aop[], 4, 1)</f>
        <v>241</v>
      </c>
      <c r="J61" s="454"/>
      <c r="K61" s="454"/>
      <c r="L61" s="455"/>
      <c r="N61" s="44"/>
      <c r="P61" s="183"/>
    </row>
    <row r="62" spans="2:16" ht="13.5" customHeight="1" x14ac:dyDescent="0.3">
      <c r="B62" s="15">
        <v>180</v>
      </c>
      <c r="C62" s="58">
        <f>IF(AND([0]!Godina=2022,MID(Osnovni_podaci!D20,3,1)="H",Osnovni_podaci!L24=3,Osnovni_podaci!G24=0,MID(Osnovni_podaci!D20,3,1)="H",MID(Osnovni_podaci!D20,8,1)="S"),VLOOKUP( $B62, T_Aop[], 5, 1),A1)</f>
        <v>663</v>
      </c>
      <c r="D62" s="683" t="str">
        <f>VLOOKUP( $B62, T_Aop[], 6, 1)</f>
        <v xml:space="preserve">    3. Incomes from currency clause</v>
      </c>
      <c r="E62" s="684"/>
      <c r="F62" s="684"/>
      <c r="G62" s="684"/>
      <c r="H62" s="685"/>
      <c r="I62" s="59">
        <f>VLOOKUP( $B62, T_Aop[], 4, 1)</f>
        <v>242</v>
      </c>
      <c r="J62" s="456"/>
      <c r="K62" s="456"/>
      <c r="L62" s="457"/>
      <c r="N62" s="44"/>
      <c r="P62" s="183"/>
    </row>
    <row r="63" spans="2:16" ht="13.5" customHeight="1" x14ac:dyDescent="0.3">
      <c r="B63" s="15">
        <v>181</v>
      </c>
      <c r="C63" s="62">
        <f>IF(AND([0]!Godina=2022,MID(Osnovni_podaci!D20,3,1)="H",Osnovni_podaci!L24=3,Osnovni_podaci!G24=0,MID(Osnovni_podaci!D20,3,1)="H",MID(Osnovni_podaci!D20,8,1)="S"),VLOOKUP( $B63, T_Aop[], 5, 1),A1)</f>
        <v>669</v>
      </c>
      <c r="D63" s="686" t="str">
        <f>VLOOKUP( $B63, T_Aop[], 6, 1)</f>
        <v xml:space="preserve">    4. Other finance income</v>
      </c>
      <c r="E63" s="687"/>
      <c r="F63" s="687"/>
      <c r="G63" s="687"/>
      <c r="H63" s="688"/>
      <c r="I63" s="63">
        <f>VLOOKUP( $B63, T_Aop[], 4, 1)</f>
        <v>243</v>
      </c>
      <c r="J63" s="454"/>
      <c r="K63" s="454"/>
      <c r="L63" s="455"/>
      <c r="N63" s="44"/>
      <c r="P63" s="183"/>
    </row>
    <row r="64" spans="2:16" ht="15" customHeight="1" x14ac:dyDescent="0.3">
      <c r="B64" s="15">
        <v>182</v>
      </c>
      <c r="C64" s="58">
        <f>IF(AND([0]!Godina=2022,MID(Osnovni_podaci!D20,3,1)="H",Osnovni_podaci!L24=3,Osnovni_podaci!G24=0,MID(Osnovni_podaci!D20,3,1)="H",MID(Osnovni_podaci!D20,8,1)="S"),VLOOKUP( $B64, T_Aop[], 5, 1),A1)</f>
        <v>56</v>
      </c>
      <c r="D64" s="689" t="str">
        <f>VLOOKUP( $B64, T_Aop[], 6, 1)</f>
        <v xml:space="preserve">  II FINANCE EXPENSES (245 to 248)</v>
      </c>
      <c r="E64" s="690"/>
      <c r="F64" s="690"/>
      <c r="G64" s="690"/>
      <c r="H64" s="691"/>
      <c r="I64" s="178">
        <f>VLOOKUP( $B64, T_Aop[], 4, 1)</f>
        <v>244</v>
      </c>
      <c r="J64" s="456">
        <v>17</v>
      </c>
      <c r="K64" s="60">
        <f>IF(AND([0]!Godina=2022,MID(Osnovni_podaci!D20,3,1)="H",Osnovni_podaci!L24=3,Osnovni_podaci!G24=0,MID(Osnovni_podaci!D20,3,1)="H",MID(Osnovni_podaci!D20,8,1)="S"),SUBTOTAL( 9, K65:K68),A1)</f>
        <v>22</v>
      </c>
      <c r="L64" s="61">
        <f>IF(AND([0]!Godina=2022,MID(Osnovni_podaci!D20,3,1)="H",Osnovni_podaci!L24=3,Osnovni_podaci!G24=0,MID(Osnovni_podaci!D20,3,1)="H",MID(Osnovni_podaci!D20,8,1)="S"),SUBTOTAL( 9, L65:L68),A1)</f>
        <v>9015</v>
      </c>
      <c r="N64" s="44"/>
      <c r="P64" s="183"/>
    </row>
    <row r="65" spans="2:16" ht="13.5" customHeight="1" x14ac:dyDescent="0.3">
      <c r="B65" s="15">
        <v>183</v>
      </c>
      <c r="C65" s="62" t="str">
        <f>IF(AND([0]!Godina=2022,MID(Osnovni_podaci!D20,3,1)="H",Osnovni_podaci!L24=3,Osnovni_podaci!G24=0,MID(Osnovni_podaci!D20,3,1)="H",MID(Osnovni_podaci!D20,8,1)="S"),VLOOKUP( $B65, T_Aop[], 5, 1),A1)</f>
        <v>560, 561</v>
      </c>
      <c r="D65" s="686" t="str">
        <f>VLOOKUP( $B65, T_Aop[], 6, 1)</f>
        <v xml:space="preserve">    1. Interests expense</v>
      </c>
      <c r="E65" s="687"/>
      <c r="F65" s="687"/>
      <c r="G65" s="687"/>
      <c r="H65" s="688"/>
      <c r="I65" s="63">
        <f>VLOOKUP( $B65, T_Aop[], 4, 1)</f>
        <v>245</v>
      </c>
      <c r="J65" s="454"/>
      <c r="K65" s="454">
        <v>22</v>
      </c>
      <c r="L65" s="455">
        <v>9015</v>
      </c>
      <c r="N65" s="44"/>
      <c r="P65" s="183"/>
    </row>
    <row r="66" spans="2:16" ht="13.5" customHeight="1" x14ac:dyDescent="0.3">
      <c r="B66" s="15">
        <v>184</v>
      </c>
      <c r="C66" s="58">
        <f>IF(AND([0]!Godina=2022,MID(Osnovni_podaci!D20,3,1)="H",Osnovni_podaci!L24=3,Osnovni_podaci!G24=0,MID(Osnovni_podaci!D20,3,1)="H",MID(Osnovni_podaci!D20,8,1)="S"),VLOOKUP( $B66, T_Aop[], 5, 1),A1)</f>
        <v>562</v>
      </c>
      <c r="D66" s="683" t="str">
        <f>VLOOKUP( $B66, T_Aop[], 6, 1)</f>
        <v xml:space="preserve">    2. Foreign exchange losses</v>
      </c>
      <c r="E66" s="684"/>
      <c r="F66" s="684"/>
      <c r="G66" s="684"/>
      <c r="H66" s="685"/>
      <c r="I66" s="59">
        <f>VLOOKUP( $B66, T_Aop[], 4, 1)</f>
        <v>246</v>
      </c>
      <c r="J66" s="456"/>
      <c r="K66" s="456"/>
      <c r="L66" s="457"/>
      <c r="N66" s="44"/>
      <c r="P66" s="183"/>
    </row>
    <row r="67" spans="2:16" ht="13.5" customHeight="1" x14ac:dyDescent="0.3">
      <c r="B67" s="15">
        <v>185</v>
      </c>
      <c r="C67" s="62">
        <f>IF(AND([0]!Godina=2022,MID(Osnovni_podaci!D20,3,1)="H",Osnovni_podaci!L24=3,Osnovni_podaci!G24=0,MID(Osnovni_podaci!D20,3,1)="H",MID(Osnovni_podaci!D20,8,1)="S"),VLOOKUP( $B67, T_Aop[], 5, 1),A1)</f>
        <v>563</v>
      </c>
      <c r="D67" s="686" t="str">
        <f>VLOOKUP( $B67, T_Aop[], 6, 1)</f>
        <v xml:space="preserve">    3. Currency clause expenses</v>
      </c>
      <c r="E67" s="687"/>
      <c r="F67" s="687"/>
      <c r="G67" s="687"/>
      <c r="H67" s="688"/>
      <c r="I67" s="63">
        <f>VLOOKUP( $B67, T_Aop[], 4, 1)</f>
        <v>247</v>
      </c>
      <c r="J67" s="454"/>
      <c r="K67" s="454"/>
      <c r="L67" s="455"/>
      <c r="N67" s="44"/>
      <c r="P67" s="183"/>
    </row>
    <row r="68" spans="2:16" ht="13.5" customHeight="1" x14ac:dyDescent="0.3">
      <c r="B68" s="15">
        <v>186</v>
      </c>
      <c r="C68" s="58">
        <f>IF(AND([0]!Godina=2022,MID(Osnovni_podaci!D20,3,1)="H",Osnovni_podaci!L24=3,Osnovni_podaci!G24=0,MID(Osnovni_podaci!D20,3,1)="H",MID(Osnovni_podaci!D20,8,1)="S"),VLOOKUP( $B68, T_Aop[], 5, 1),A1)</f>
        <v>569</v>
      </c>
      <c r="D68" s="683" t="str">
        <f>VLOOKUP( $B68, T_Aop[], 6, 1)</f>
        <v xml:space="preserve">    4. Other finance expense</v>
      </c>
      <c r="E68" s="684"/>
      <c r="F68" s="684"/>
      <c r="G68" s="684"/>
      <c r="H68" s="685"/>
      <c r="I68" s="59">
        <f>VLOOKUP( $B68, T_Aop[], 4, 1)</f>
        <v>248</v>
      </c>
      <c r="J68" s="456"/>
      <c r="K68" s="456"/>
      <c r="L68" s="457"/>
      <c r="N68" s="44"/>
      <c r="P68" s="183"/>
    </row>
    <row r="69" spans="2:16" ht="21" customHeight="1" x14ac:dyDescent="0.3">
      <c r="B69" s="15">
        <v>187</v>
      </c>
      <c r="C69" s="188">
        <f>IF(AND([0]!Godina=2022,MID(Osnovni_podaci!D20,3,1)="H",Osnovni_podaci!L24=3,Osnovni_podaci!G24=0,MID(Osnovni_podaci!D20,3,1)="H",MID(Osnovni_podaci!D20,8,1)="S"),VLOOKUP( $B69, T_Aop[], 5, 1),A1)</f>
        <v>0</v>
      </c>
      <c r="D69" s="692" t="str">
        <f>VLOOKUP( $B69, T_Aop[], 6, 1)</f>
        <v xml:space="preserve">  E. OPERATING INCOME (237 + 239 - 244) or (239 - 244 - 238)  </v>
      </c>
      <c r="E69" s="693"/>
      <c r="F69" s="693"/>
      <c r="G69" s="693"/>
      <c r="H69" s="694"/>
      <c r="I69" s="179">
        <f>VLOOKUP( $B69, T_Aop[], 4, 1)</f>
        <v>249</v>
      </c>
      <c r="J69" s="454"/>
      <c r="K69" s="67">
        <f>IF(AND([0]!Godina=2022,MID(Osnovni_podaci!D20,3,1)="H",Osnovni_podaci!L24=3,Osnovni_podaci!G24=0,MID(Osnovni_podaci!D20,3,1)="H",MID(Osnovni_podaci!D20,8,1)="S"),IF( SUBTOTAL( 9, K21:K34,K36, K38,K59:K63) - SUBTOTAL( 9, K35, K37, K39:K56, K64:K68) &lt;= 0, 0, ABS( SUBTOTAL( 9, K21:K34,K36,K38, K59:K63) - SUBTOTAL( 9, K35, K37, K39:K56, K64:K68))),A1)</f>
        <v>429014</v>
      </c>
      <c r="L69" s="68">
        <f>IF(AND([0]!Godina=2022,MID(Osnovni_podaci!D20,3,1)="H",Osnovni_podaci!L24=3,Osnovni_podaci!G24=0,MID(Osnovni_podaci!D20,3,1)="H",MID(Osnovni_podaci!D20,8,1)="S"),IF( SUBTOTAL( 9, L21:L34,L36, L38,L59:L63) - SUBTOTAL( 9, L35, L37, L39:L56, L64:L68) &lt;= 0, 0, ABS( SUBTOTAL( 9, L21:L34,L36,L38, L59:L63) - SUBTOTAL( 9, L35, L37, L39:L56, L64:L68))),A1)</f>
        <v>818448</v>
      </c>
      <c r="N69" s="44"/>
      <c r="P69" s="183"/>
    </row>
    <row r="70" spans="2:16" ht="21" customHeight="1" x14ac:dyDescent="0.3">
      <c r="B70" s="15">
        <v>188</v>
      </c>
      <c r="C70" s="58">
        <f>IF(AND([0]!Godina=2022,MID(Osnovni_podaci!D20,3,1)="H",Osnovni_podaci!L24=3,Osnovni_podaci!G24=0,MID(Osnovni_podaci!D20,3,1)="H",MID(Osnovni_podaci!D20,8,1)="S"),VLOOKUP( $B70, T_Aop[], 5, 1),A1)</f>
        <v>0</v>
      </c>
      <c r="D70" s="689" t="str">
        <f>VLOOKUP( $B70, T_Aop[], 6, 1)</f>
        <v xml:space="preserve">  F. OPERATING LOSS  (238 + 244 -239) or (244-239-237)  </v>
      </c>
      <c r="E70" s="690"/>
      <c r="F70" s="690"/>
      <c r="G70" s="690"/>
      <c r="H70" s="691"/>
      <c r="I70" s="178">
        <f>VLOOKUP( $B70, T_Aop[], 4, 1)</f>
        <v>250</v>
      </c>
      <c r="J70" s="456"/>
      <c r="K70" s="254">
        <f>IF(AND([0]!Godina=2022,MID(Osnovni_podaci!D20,3,1)="H",Osnovni_podaci!L24=3,Osnovni_podaci!G24=0,MID(Osnovni_podaci!D20,3,1)="H",MID(Osnovni_podaci!D20,8,1)="S"),IF( SUBTOTAL( 9, K21:K34,K36,K38,K59:K63) - SUBTOTAL( 9, K35, K37, K39:K56,K64:K68)  &gt;= 0, 0, ABS( SUBTOTAL( 9, K21:K34,K36,K38,K59:K63) - SUBTOTAL( 9, K35, K37, K39:K56,K64:K68))),A1)</f>
        <v>0</v>
      </c>
      <c r="L70" s="403">
        <f>IF(AND([0]!Godina=2022,MID(Osnovni_podaci!D20,3,1)="H",Osnovni_podaci!L24=3,Osnovni_podaci!G24=0,MID(Osnovni_podaci!D20,3,1)="H",MID(Osnovni_podaci!D20,8,1)="S"),IF( SUBTOTAL( 9, L21:L34,L36,L38,L59:L63) - SUBTOTAL( 9, L35, L37, L39:L56,L64:L68)  &gt;= 0, 0, ABS( SUBTOTAL( 9, L21:L34,L36,L38,L59:L63) - SUBTOTAL( 9, L35, L37, L39:L56,L64:L68))),A1)</f>
        <v>0</v>
      </c>
      <c r="N70" s="44"/>
      <c r="P70" s="183"/>
    </row>
    <row r="71" spans="2:16" ht="23.25" customHeight="1" x14ac:dyDescent="0.3">
      <c r="B71" s="15">
        <v>189</v>
      </c>
      <c r="C71" s="62">
        <f>IF(AND([0]!Godina=2022,MID(Osnovni_podaci!D20,3,1)="H",Osnovni_podaci!L24=3,Osnovni_podaci!G24=0,MID(Osnovni_podaci!D20,3,1)="H",MID(Osnovni_podaci!D20,8,1)="S"),VLOOKUP( $B71, T_Aop[], 5, 1),A1)</f>
        <v>67</v>
      </c>
      <c r="D71" s="692" t="str">
        <f>VLOOKUP( $B71, T_Aop[], 6, 1)</f>
        <v xml:space="preserve">  G. OTHER INCOME AND EXPENSES I OTHER INCOME AND GAINS (252 to 260)</v>
      </c>
      <c r="E71" s="693"/>
      <c r="F71" s="693"/>
      <c r="G71" s="693"/>
      <c r="H71" s="694"/>
      <c r="I71" s="179">
        <f>VLOOKUP( $B71, T_Aop[], 4, 1)</f>
        <v>251</v>
      </c>
      <c r="J71" s="454">
        <v>16</v>
      </c>
      <c r="K71" s="64">
        <f>IF(AND([0]!Godina=2022,MID(Osnovni_podaci!D20,3,1)="H",Osnovni_podaci!L24=3,Osnovni_podaci!G24=0,MID(Osnovni_podaci!D20,3,1)="H",MID(Osnovni_podaci!D20,8,1)="S"),SUBTOTAL( 9, K72:K80),A1)</f>
        <v>26425</v>
      </c>
      <c r="L71" s="65">
        <f>IF(AND([0]!Godina=2022,MID(Osnovni_podaci!D20,3,1)="H",Osnovni_podaci!L24=3,Osnovni_podaci!G24=0,MID(Osnovni_podaci!D20,3,1)="H",MID(Osnovni_podaci!D20,8,1)="S"),SUBTOTAL( 9, L72:L80),A1)</f>
        <v>13063</v>
      </c>
      <c r="N71" s="44"/>
      <c r="P71" s="183"/>
    </row>
    <row r="72" spans="2:16" ht="23.25" customHeight="1" x14ac:dyDescent="0.3">
      <c r="B72" s="15">
        <v>190</v>
      </c>
      <c r="C72" s="58" t="str">
        <f>IF(AND([0]!Godina=2022,MID(Osnovni_podaci!D20,3,1)="H",Osnovni_podaci!L24=3,Osnovni_podaci!G24=0,MID(Osnovni_podaci!D20,3,1)="H",MID(Osnovni_podaci!D20,8,1)="S"),VLOOKUP( $B72, T_Aop[], 5, 1),A1)</f>
        <v>670, 570 Net amount</v>
      </c>
      <c r="D72" s="683" t="str">
        <f>VLOOKUP( $B72, T_Aop[], 6, 1)</f>
        <v xml:space="preserve">    1. Net income from sale of intangible investments, real estates, plant and equipment</v>
      </c>
      <c r="E72" s="684"/>
      <c r="F72" s="684"/>
      <c r="G72" s="684"/>
      <c r="H72" s="685"/>
      <c r="I72" s="59">
        <f>VLOOKUP( $B72, T_Aop[], 4, 1)</f>
        <v>252</v>
      </c>
      <c r="J72" s="456"/>
      <c r="K72" s="456">
        <v>200</v>
      </c>
      <c r="L72" s="457">
        <v>5500</v>
      </c>
      <c r="N72" s="44"/>
      <c r="P72" s="183"/>
    </row>
    <row r="73" spans="2:16" ht="23.25" customHeight="1" x14ac:dyDescent="0.3">
      <c r="B73" s="15">
        <v>191</v>
      </c>
      <c r="C73" s="62" t="str">
        <f>IF(AND([0]!Godina=2022,MID(Osnovni_podaci!D20,3,1)="H",Osnovni_podaci!L24=3,Osnovni_podaci!G24=0,MID(Osnovni_podaci!D20,3,1)="H",MID(Osnovni_podaci!D20,8,1)="S"),VLOOKUP( $B73, T_Aop[], 5, 1),A1)</f>
        <v>671, 571 Net amount</v>
      </c>
      <c r="D73" s="686" t="str">
        <f>VLOOKUP( $B73, T_Aop[], 6, 1)</f>
        <v xml:space="preserve">    2. Net income from sale of investment real estates</v>
      </c>
      <c r="E73" s="687"/>
      <c r="F73" s="687"/>
      <c r="G73" s="687"/>
      <c r="H73" s="688"/>
      <c r="I73" s="63">
        <f>VLOOKUP( $B73, T_Aop[], 4, 1)</f>
        <v>253</v>
      </c>
      <c r="J73" s="454"/>
      <c r="K73" s="454"/>
      <c r="L73" s="455"/>
      <c r="N73" s="44"/>
      <c r="P73" s="183"/>
    </row>
    <row r="74" spans="2:16" ht="23.25" customHeight="1" x14ac:dyDescent="0.3">
      <c r="B74" s="15">
        <v>192</v>
      </c>
      <c r="C74" s="58" t="str">
        <f>IF(AND([0]!Godina=2022,MID(Osnovni_podaci!D20,3,1)="H",Osnovni_podaci!L24=3,Osnovni_podaci!G24=0,MID(Osnovni_podaci!D20,3,1)="H",MID(Osnovni_podaci!D20,8,1)="S"),VLOOKUP( $B74, T_Aop[], 5, 1),A1)</f>
        <v>672, 572 Net amount</v>
      </c>
      <c r="D74" s="683" t="str">
        <f>VLOOKUP( $B74, T_Aop[], 6, 1)</f>
        <v xml:space="preserve">    3. Net income from sale of biological assets</v>
      </c>
      <c r="E74" s="684"/>
      <c r="F74" s="684"/>
      <c r="G74" s="684"/>
      <c r="H74" s="685"/>
      <c r="I74" s="59">
        <f>VLOOKUP( $B74, T_Aop[], 4, 1)</f>
        <v>254</v>
      </c>
      <c r="J74" s="456"/>
      <c r="K74" s="456"/>
      <c r="L74" s="457"/>
      <c r="N74" s="44"/>
      <c r="P74" s="183"/>
    </row>
    <row r="75" spans="2:16" ht="23.25" customHeight="1" x14ac:dyDescent="0.3">
      <c r="B75" s="15">
        <v>193</v>
      </c>
      <c r="C75" s="62" t="str">
        <f>IF(AND([0]!Godina=2022,MID(Osnovni_podaci!D20,3,1)="H",Osnovni_podaci!L24=3,Osnovni_podaci!G24=0,MID(Osnovni_podaci!D20,3,1)="H",MID(Osnovni_podaci!D20,8,1)="S"),VLOOKUP( $B75, T_Aop[], 5, 1),A1)</f>
        <v>673, 573, Net amount</v>
      </c>
      <c r="D75" s="686" t="str">
        <f>VLOOKUP( $B75, T_Aop[], 6, 1)</f>
        <v xml:space="preserve">    4. Net income from sale of fixed assets for sale and discontinued operations assets</v>
      </c>
      <c r="E75" s="687"/>
      <c r="F75" s="687"/>
      <c r="G75" s="687"/>
      <c r="H75" s="688"/>
      <c r="I75" s="63">
        <f>VLOOKUP( $B75, T_Aop[], 4, 1)</f>
        <v>255</v>
      </c>
      <c r="J75" s="454"/>
      <c r="K75" s="454"/>
      <c r="L75" s="455"/>
      <c r="N75" s="44"/>
      <c r="P75" s="183"/>
    </row>
    <row r="76" spans="2:16" ht="23.25" customHeight="1" x14ac:dyDescent="0.3">
      <c r="B76" s="15">
        <v>194</v>
      </c>
      <c r="C76" s="58" t="str">
        <f>IF(AND([0]!Godina=2022,MID(Osnovni_podaci!D20,3,1)="H",Osnovni_podaci!L24=3,Osnovni_podaci!G24=0,MID(Osnovni_podaci!D20,3,1)="H",MID(Osnovni_podaci!D20,8,1)="S"),VLOOKUP( $B76, T_Aop[], 5, 1),A1)</f>
        <v>674, 574 Net amount</v>
      </c>
      <c r="D76" s="683" t="str">
        <f>VLOOKUP( $B76, T_Aop[], 6, 1)</f>
        <v xml:space="preserve">    5. Net income from sale of financial assets and investments in related legal entities</v>
      </c>
      <c r="E76" s="684"/>
      <c r="F76" s="684"/>
      <c r="G76" s="684"/>
      <c r="H76" s="685"/>
      <c r="I76" s="59">
        <f>VLOOKUP( $B76, T_Aop[], 4, 1)</f>
        <v>256</v>
      </c>
      <c r="J76" s="456"/>
      <c r="K76" s="456"/>
      <c r="L76" s="457"/>
      <c r="N76" s="44"/>
      <c r="P76" s="183"/>
    </row>
    <row r="77" spans="2:16" ht="23.25" customHeight="1" x14ac:dyDescent="0.3">
      <c r="B77" s="15">
        <v>195</v>
      </c>
      <c r="C77" s="62" t="str">
        <f>IF(AND([0]!Godina=2022,MID(Osnovni_podaci!D20,3,1)="H",Osnovni_podaci!L24=3,Osnovni_podaci!G24=0,MID(Osnovni_podaci!D20,3,1)="H",MID(Osnovni_podaci!D20,8,1)="S"),VLOOKUP( $B77, T_Aop[], 5, 1),A1)</f>
        <v>675, 575 Net amount</v>
      </c>
      <c r="D77" s="686" t="str">
        <f>VLOOKUP( $B77, T_Aop[], 6, 1)</f>
        <v xml:space="preserve">    6. Net income from sale of materials</v>
      </c>
      <c r="E77" s="687"/>
      <c r="F77" s="687"/>
      <c r="G77" s="687"/>
      <c r="H77" s="688"/>
      <c r="I77" s="63">
        <f>VLOOKUP( $B77, T_Aop[], 4, 1)</f>
        <v>257</v>
      </c>
      <c r="J77" s="454"/>
      <c r="K77" s="454"/>
      <c r="L77" s="455"/>
      <c r="N77" s="44"/>
      <c r="P77" s="183"/>
    </row>
    <row r="78" spans="2:16" ht="13.5" customHeight="1" x14ac:dyDescent="0.3">
      <c r="B78" s="15">
        <v>196</v>
      </c>
      <c r="C78" s="58">
        <f>IF(AND([0]!Godina=2022,MID(Osnovni_podaci!D20,3,1)="H",Osnovni_podaci!L24=3,Osnovni_podaci!G24=0,MID(Osnovni_podaci!D20,3,1)="H",MID(Osnovni_podaci!D20,8,1)="S"),VLOOKUP( $B78, T_Aop[], 5, 1),A1)</f>
        <v>676</v>
      </c>
      <c r="D78" s="683" t="str">
        <f>VLOOKUP( $B78, T_Aop[], 6, 1)</f>
        <v xml:space="preserve">    7. Surpluses</v>
      </c>
      <c r="E78" s="684"/>
      <c r="F78" s="684"/>
      <c r="G78" s="684"/>
      <c r="H78" s="685"/>
      <c r="I78" s="59">
        <f>VLOOKUP( $B78, T_Aop[], 4, 1)</f>
        <v>258</v>
      </c>
      <c r="J78" s="456"/>
      <c r="K78" s="456">
        <v>582</v>
      </c>
      <c r="L78" s="457">
        <v>2751</v>
      </c>
      <c r="N78" s="44"/>
      <c r="P78" s="184" t="s">
        <v>313</v>
      </c>
    </row>
    <row r="79" spans="2:16" ht="13.5" customHeight="1" x14ac:dyDescent="0.3">
      <c r="B79" s="15">
        <v>197</v>
      </c>
      <c r="C79" s="62" t="str">
        <f>IF(AND([0]!Godina=2022,MID(Osnovni_podaci!D20,3,1)="H",Osnovni_podaci!L24=3,Osnovni_podaci!G24=0,MID(Osnovni_podaci!D20,3,1)="H",MID(Osnovni_podaci!D20,8,1)="S"),VLOOKUP( $B79, T_Aop[], 5, 1),A1)</f>
        <v>677, 679</v>
      </c>
      <c r="D79" s="686" t="str">
        <f>VLOOKUP( $B79, T_Aop[], 6, 1)</f>
        <v xml:space="preserve">    8. Other incomes and gains</v>
      </c>
      <c r="E79" s="687"/>
      <c r="F79" s="687"/>
      <c r="G79" s="687"/>
      <c r="H79" s="688"/>
      <c r="I79" s="63">
        <f>VLOOKUP( $B79, T_Aop[], 4, 1)</f>
        <v>259</v>
      </c>
      <c r="J79" s="454"/>
      <c r="K79" s="454">
        <v>25643</v>
      </c>
      <c r="L79" s="455">
        <v>4812</v>
      </c>
      <c r="N79" s="44"/>
      <c r="P79" s="184" t="s">
        <v>313</v>
      </c>
    </row>
    <row r="80" spans="2:16" ht="13.5" customHeight="1" x14ac:dyDescent="0.3">
      <c r="B80" s="15">
        <v>198</v>
      </c>
      <c r="C80" s="58" t="str">
        <f>IF(AND([0]!Godina=2022,MID(Osnovni_podaci!D20,3,1)="H",Osnovni_podaci!L24=3,Osnovni_podaci!G24=0,MID(Osnovni_podaci!D20,3,1)="H",MID(Osnovni_podaci!D20,8,1)="S"),VLOOKUP( $B80, T_Aop[], 5, 1),A1)</f>
        <v>678, 577</v>
      </c>
      <c r="D80" s="683" t="str">
        <f>VLOOKUP( $B80, T_Aop[], 6, 1)</f>
        <v xml:space="preserve">    9. Net income form derivative financial instruments</v>
      </c>
      <c r="E80" s="684"/>
      <c r="F80" s="684"/>
      <c r="G80" s="684"/>
      <c r="H80" s="685"/>
      <c r="I80" s="59">
        <f>VLOOKUP( $B80, T_Aop[], 4, 1)</f>
        <v>260</v>
      </c>
      <c r="J80" s="456"/>
      <c r="K80" s="456"/>
      <c r="L80" s="457"/>
      <c r="N80" s="44"/>
      <c r="P80" s="183"/>
    </row>
    <row r="81" spans="2:16" ht="15.75" customHeight="1" x14ac:dyDescent="0.3">
      <c r="B81" s="15">
        <v>199</v>
      </c>
      <c r="C81" s="62">
        <f>IF(AND([0]!Godina=2022,MID(Osnovni_podaci!D20,3,1)="H",Osnovni_podaci!L24=3,Osnovni_podaci!G24=0,MID(Osnovni_podaci!D20,3,1)="H",MID(Osnovni_podaci!D20,8,1)="S"),VLOOKUP( $B81, T_Aop[], 5, 1),A1)</f>
        <v>57</v>
      </c>
      <c r="D81" s="692" t="str">
        <f>VLOOKUP( $B81, T_Aop[], 6, 1)</f>
        <v xml:space="preserve">  II OTHER EXPENSES AND LOSSES (262 to 270)</v>
      </c>
      <c r="E81" s="693"/>
      <c r="F81" s="693"/>
      <c r="G81" s="693"/>
      <c r="H81" s="694"/>
      <c r="I81" s="179">
        <f>VLOOKUP( $B81, T_Aop[], 4, 1)</f>
        <v>261</v>
      </c>
      <c r="J81" s="454">
        <v>16</v>
      </c>
      <c r="K81" s="64">
        <f>IF(AND([0]!Godina=2022,MID(Osnovni_podaci!D20,3,1)="H",Osnovni_podaci!L24=3,Osnovni_podaci!G24=0,MID(Osnovni_podaci!D20,3,1)="H",MID(Osnovni_podaci!D20,8,1)="S"),SUBTOTAL( 9, K82:K90),A1)</f>
        <v>491</v>
      </c>
      <c r="L81" s="65">
        <f>IF(AND([0]!Godina=2022,MID(Osnovni_podaci!D20,3,1)="H",Osnovni_podaci!L24=3,Osnovni_podaci!G24=0,MID(Osnovni_podaci!D20,3,1)="H",MID(Osnovni_podaci!D20,8,1)="S"),SUBTOTAL( 9, L82:L90),A1)</f>
        <v>1365</v>
      </c>
      <c r="N81" s="44"/>
      <c r="P81" s="183"/>
    </row>
    <row r="82" spans="2:16" ht="22.5" customHeight="1" x14ac:dyDescent="0.3">
      <c r="B82" s="15">
        <v>200</v>
      </c>
      <c r="C82" s="58" t="str">
        <f>IF(AND([0]!Godina=2022,MID(Osnovni_podaci!D20,3,1)="H",Osnovni_podaci!L24=3,Osnovni_podaci!G24=0,MID(Osnovni_podaci!D20,3,1)="H",MID(Osnovni_podaci!D20,8,1)="S"),VLOOKUP( $B82, T_Aop[], 5, 1),A1)</f>
        <v>570, 670 Net amount</v>
      </c>
      <c r="D82" s="683" t="str">
        <f>VLOOKUP( $B82, T_Aop[], 6, 1)</f>
        <v xml:space="preserve">    1. Net losses arising from disposal of intangible assets, real estates, plants and equipment</v>
      </c>
      <c r="E82" s="684"/>
      <c r="F82" s="684"/>
      <c r="G82" s="684"/>
      <c r="H82" s="685"/>
      <c r="I82" s="59">
        <f>VLOOKUP( $B82, T_Aop[], 4, 1)</f>
        <v>262</v>
      </c>
      <c r="J82" s="456"/>
      <c r="K82" s="456"/>
      <c r="L82" s="457"/>
      <c r="N82" s="44"/>
      <c r="P82" s="183"/>
    </row>
    <row r="83" spans="2:16" ht="22.5" customHeight="1" x14ac:dyDescent="0.3">
      <c r="B83" s="15">
        <v>201</v>
      </c>
      <c r="C83" s="62" t="str">
        <f>IF(AND([0]!Godina=2022,MID(Osnovni_podaci!D20,3,1)="H",Osnovni_podaci!L24=3,Osnovni_podaci!G24=0,MID(Osnovni_podaci!D20,3,1)="H",MID(Osnovni_podaci!D20,8,1)="S"),VLOOKUP( $B83, T_Aop[], 5, 1),A1)</f>
        <v>571, 671 Net amount</v>
      </c>
      <c r="D83" s="686" t="str">
        <f>VLOOKUP( $B83, T_Aop[], 6, 1)</f>
        <v xml:space="preserve">    2. Net losses arising from disposal of investment property</v>
      </c>
      <c r="E83" s="687"/>
      <c r="F83" s="687"/>
      <c r="G83" s="687"/>
      <c r="H83" s="688"/>
      <c r="I83" s="63">
        <f>VLOOKUP( $B83, T_Aop[], 4, 1)</f>
        <v>263</v>
      </c>
      <c r="J83" s="454"/>
      <c r="K83" s="454"/>
      <c r="L83" s="455"/>
      <c r="N83" s="44"/>
      <c r="P83" s="183"/>
    </row>
    <row r="84" spans="2:16" ht="22.5" customHeight="1" x14ac:dyDescent="0.3">
      <c r="B84" s="15">
        <v>202</v>
      </c>
      <c r="C84" s="58" t="str">
        <f>IF(AND([0]!Godina=2022,MID(Osnovni_podaci!D20,3,1)="H",Osnovni_podaci!L24=3,Osnovni_podaci!G24=0,MID(Osnovni_podaci!D20,3,1)="H",MID(Osnovni_podaci!D20,8,1)="S"),VLOOKUP( $B84, T_Aop[], 5, 1),A1)</f>
        <v>572, 672 Net amount</v>
      </c>
      <c r="D84" s="683" t="str">
        <f>VLOOKUP( $B84, T_Aop[], 6, 1)</f>
        <v xml:space="preserve">    3. Net losses arising from disposal of biological assets</v>
      </c>
      <c r="E84" s="684"/>
      <c r="F84" s="684"/>
      <c r="G84" s="684"/>
      <c r="H84" s="685"/>
      <c r="I84" s="59">
        <f>VLOOKUP( $B84, T_Aop[], 4, 1)</f>
        <v>264</v>
      </c>
      <c r="J84" s="456"/>
      <c r="K84" s="456"/>
      <c r="L84" s="457"/>
      <c r="N84" s="44"/>
      <c r="P84" s="183"/>
    </row>
    <row r="85" spans="2:16" ht="22.5" customHeight="1" x14ac:dyDescent="0.3">
      <c r="B85" s="15">
        <v>203</v>
      </c>
      <c r="C85" s="62" t="str">
        <f>IF(AND([0]!Godina=2022,MID(Osnovni_podaci!D20,3,1)="H",Osnovni_podaci!L24=3,Osnovni_podaci!G24=0,MID(Osnovni_podaci!D20,3,1)="H",MID(Osnovni_podaci!D20,8,1)="S"),VLOOKUP( $B85, T_Aop[], 5, 1),A1)</f>
        <v>573, 673, Net amount</v>
      </c>
      <c r="D85" s="686" t="str">
        <f>VLOOKUP( $B85, T_Aop[], 6, 1)</f>
        <v xml:space="preserve">    4. Net losses arising from disposal of fixed assets for sale and discontinued operations assets</v>
      </c>
      <c r="E85" s="687"/>
      <c r="F85" s="687"/>
      <c r="G85" s="687"/>
      <c r="H85" s="688"/>
      <c r="I85" s="63">
        <f>VLOOKUP( $B85, T_Aop[], 4, 1)</f>
        <v>265</v>
      </c>
      <c r="J85" s="454"/>
      <c r="K85" s="454"/>
      <c r="L85" s="455"/>
      <c r="N85" s="44"/>
      <c r="P85" s="183"/>
    </row>
    <row r="86" spans="2:16" ht="22.5" customHeight="1" x14ac:dyDescent="0.3">
      <c r="B86" s="15">
        <v>204</v>
      </c>
      <c r="C86" s="58" t="str">
        <f>IF(AND([0]!Godina=2022,MID(Osnovni_podaci!D20,3,1)="H",Osnovni_podaci!L24=3,Osnovni_podaci!G24=0,MID(Osnovni_podaci!D20,3,1)="H",MID(Osnovni_podaci!D20,8,1)="S"),VLOOKUP( $B86, T_Aop[], 5, 1),A1)</f>
        <v>574, 674 Net amount</v>
      </c>
      <c r="D86" s="683" t="str">
        <f>VLOOKUP( $B86, T_Aop[], 6, 1)</f>
        <v xml:space="preserve">    5. Net losses from disposal of financial assets and investments in releted legal entities</v>
      </c>
      <c r="E86" s="684"/>
      <c r="F86" s="684"/>
      <c r="G86" s="684"/>
      <c r="H86" s="685"/>
      <c r="I86" s="59">
        <f>VLOOKUP( $B86, T_Aop[], 4, 1)</f>
        <v>266</v>
      </c>
      <c r="J86" s="456"/>
      <c r="K86" s="456"/>
      <c r="L86" s="457"/>
      <c r="N86" s="44"/>
      <c r="P86" s="183"/>
    </row>
    <row r="87" spans="2:16" ht="22.5" customHeight="1" x14ac:dyDescent="0.3">
      <c r="B87" s="15">
        <v>205</v>
      </c>
      <c r="C87" s="62" t="str">
        <f>IF(AND([0]!Godina=2022,MID(Osnovni_podaci!D20,3,1)="H",Osnovni_podaci!L24=3,Osnovni_podaci!G24=0,MID(Osnovni_podaci!D20,3,1)="H",MID(Osnovni_podaci!D20,8,1)="S"),VLOOKUP( $B87, T_Aop[], 5, 1),A1)</f>
        <v>575, 675 Net amount</v>
      </c>
      <c r="D87" s="686" t="str">
        <f>VLOOKUP( $B87, T_Aop[], 6, 1)</f>
        <v xml:space="preserve">    6. Net losses from sale of materials</v>
      </c>
      <c r="E87" s="687"/>
      <c r="F87" s="687"/>
      <c r="G87" s="687"/>
      <c r="H87" s="688"/>
      <c r="I87" s="63">
        <f>VLOOKUP( $B87, T_Aop[], 4, 1)</f>
        <v>267</v>
      </c>
      <c r="J87" s="454"/>
      <c r="K87" s="454"/>
      <c r="L87" s="455"/>
      <c r="N87" s="44"/>
      <c r="P87" s="183"/>
    </row>
    <row r="88" spans="2:16" ht="14.25" customHeight="1" x14ac:dyDescent="0.3">
      <c r="B88" s="15">
        <v>206</v>
      </c>
      <c r="C88" s="58">
        <f>IF(AND([0]!Godina=2022,MID(Osnovni_podaci!D20,3,1)="H",Osnovni_podaci!L24=3,Osnovni_podaci!G24=0,MID(Osnovni_podaci!D20,3,1)="H",MID(Osnovni_podaci!D20,8,1)="S"),VLOOKUP( $B88, T_Aop[], 5, 1),A1)</f>
        <v>576</v>
      </c>
      <c r="D88" s="683" t="str">
        <f>VLOOKUP( $B88, T_Aop[], 6, 1)</f>
        <v xml:space="preserve">    7. Deficits</v>
      </c>
      <c r="E88" s="684"/>
      <c r="F88" s="684"/>
      <c r="G88" s="684"/>
      <c r="H88" s="685"/>
      <c r="I88" s="59">
        <f>VLOOKUP( $B88, T_Aop[], 4, 1)</f>
        <v>268</v>
      </c>
      <c r="J88" s="456"/>
      <c r="K88" s="456">
        <v>85</v>
      </c>
      <c r="L88" s="457">
        <v>163</v>
      </c>
      <c r="N88" s="44"/>
      <c r="P88" s="184" t="s">
        <v>313</v>
      </c>
    </row>
    <row r="89" spans="2:16" ht="22.5" customHeight="1" x14ac:dyDescent="0.3">
      <c r="B89" s="15">
        <v>207</v>
      </c>
      <c r="C89" s="62" t="str">
        <f>IF(AND([0]!Godina=2022,MID(Osnovni_podaci!D20,3,1)="H",Osnovni_podaci!L24=3,Osnovni_podaci!G24=0,MID(Osnovni_podaci!D20,3,1)="H",MID(Osnovni_podaci!D20,8,1)="S"),VLOOKUP( $B89, T_Aop[], 5, 1),A1)</f>
        <v>577, 678 Net amount</v>
      </c>
      <c r="D89" s="686" t="str">
        <f>IF(AND([0]!Godina=2022,MID(Osnovni_podaci!D20,3,1)="H",Osnovni_podaci!L24=3,Osnovni_podaci!G24=0,MID(Osnovni_podaci!D20,3,1)="H",MID(Osnovni_podaci!D20,8,1)="S"),VLOOKUP( $B89, T_Aop[], 6, 1),A1)</f>
        <v xml:space="preserve">    8. Net lossed from derivative financial instruments</v>
      </c>
      <c r="E89" s="687"/>
      <c r="F89" s="687"/>
      <c r="G89" s="687"/>
      <c r="H89" s="688"/>
      <c r="I89" s="63">
        <f>VLOOKUP( $B89, T_Aop[], 4, 1)</f>
        <v>269</v>
      </c>
      <c r="J89" s="454"/>
      <c r="K89" s="454"/>
      <c r="L89" s="455"/>
      <c r="N89" s="44"/>
      <c r="P89" s="183"/>
    </row>
    <row r="90" spans="2:16" ht="14.25" customHeight="1" x14ac:dyDescent="0.3">
      <c r="B90" s="15">
        <v>208</v>
      </c>
      <c r="C90" s="58" t="str">
        <f>IF(AND([0]!Godina=2022,MID(Osnovni_podaci!D20,3,1)="H",Osnovni_podaci!L24=3,Osnovni_podaci!G24=0,MID(Osnovni_podaci!D20,3,1)="H",MID(Osnovni_podaci!D20,8,1)="S"),VLOOKUP( $B90, T_Aop[], 5, 1),A1)</f>
        <v>578, 579</v>
      </c>
      <c r="D90" s="683" t="str">
        <f>IF(AND([0]!Godina=2022,MID(Osnovni_podaci!D20,3,1)="H",Osnovni_podaci!L24=3,Osnovni_podaci!G24=0,MID(Osnovni_podaci!D20,3,1)="H",MID(Osnovni_podaci!D20,8,1)="S"),VLOOKUP( $B90, T_Aop[], 6, 1),A1)</f>
        <v xml:space="preserve">    9. Other expenses and losses</v>
      </c>
      <c r="E90" s="684"/>
      <c r="F90" s="684"/>
      <c r="G90" s="684"/>
      <c r="H90" s="685"/>
      <c r="I90" s="59">
        <f>VLOOKUP( $B90, T_Aop[], 4, 1)</f>
        <v>270</v>
      </c>
      <c r="J90" s="456"/>
      <c r="K90" s="456">
        <v>406</v>
      </c>
      <c r="L90" s="457">
        <v>1202</v>
      </c>
      <c r="N90" s="44"/>
      <c r="P90" s="183"/>
    </row>
    <row r="91" spans="2:16" ht="12.75" customHeight="1" x14ac:dyDescent="0.3">
      <c r="B91" s="15">
        <v>209</v>
      </c>
      <c r="C91" s="188">
        <f>IF(AND([0]!Godina=2022,MID(Osnovni_podaci!D20,3,1)="H",Osnovni_podaci!L24=3,Osnovni_podaci!G24=0,MID(Osnovni_podaci!D20,3,1)="H",MID(Osnovni_podaci!D20,8,1)="S"),VLOOKUP( $B91, T_Aop[], 5, 1),A1)</f>
        <v>0</v>
      </c>
      <c r="D91" s="692" t="str">
        <f>IF(AND([0]!Godina=2022,MID(Osnovni_podaci!D20,3,1)="H",Osnovni_podaci!L24=3,Osnovni_podaci!G24=0,MID(Osnovni_podaci!D20,3,1)="H",MID(Osnovni_podaci!D20,8,1)="S"),VLOOKUP( $B91, T_Aop[], 6, 1),A1)</f>
        <v xml:space="preserve">  H. GAIN FROM OTHER INCOMES AND EXPENSES (251 - 261)</v>
      </c>
      <c r="E91" s="693"/>
      <c r="F91" s="693"/>
      <c r="G91" s="693"/>
      <c r="H91" s="694"/>
      <c r="I91" s="179">
        <f>VLOOKUP( $B91, T_Aop[], 4, 1)</f>
        <v>271</v>
      </c>
      <c r="J91" s="454"/>
      <c r="K91" s="67">
        <f>IF(AND([0]!Godina=2022,MID(Osnovni_podaci!D20,3,1)="H",Osnovni_podaci!L24=3,Osnovni_podaci!G24=0,MID(Osnovni_podaci!D20,3,1)="H",MID(Osnovni_podaci!D20,8,1)="S"),IF( SUBTOTAL( 9, K71:K80) - SUBTOTAL( 9, K81:K90) &lt;= 0, 0, ABS( SUBTOTAL( 9, K71:K80) - SUBTOTAL( 9, K81:K90)) ),A1)</f>
        <v>25934</v>
      </c>
      <c r="L91" s="479">
        <f>IF(AND([0]!Godina=2022,MID(Osnovni_podaci!D20,3,1)="H",Osnovni_podaci!L24=3,Osnovni_podaci!G24=0,MID(Osnovni_podaci!D20,3,1)="H",MID(Osnovni_podaci!D20,8,1)="S"),IF( SUBTOTAL( 9, L71:L80) - SUBTOTAL( 9, L81:L90) &lt;= 0, 0, ABS( SUBTOTAL( 9, L71:L80) - SUBTOTAL( 9, L81:L90)) ),A1)</f>
        <v>11698</v>
      </c>
      <c r="N91" s="44"/>
      <c r="P91" s="183"/>
    </row>
    <row r="92" spans="2:16" x14ac:dyDescent="0.3">
      <c r="B92" s="15">
        <v>210</v>
      </c>
      <c r="C92" s="187">
        <f>IF(AND([0]!Godina=2022,MID(Osnovni_podaci!D20,3,1)="H",Osnovni_podaci!L24=3,Osnovni_podaci!G24=0,MID(Osnovni_podaci!D20,3,1)="H",MID(Osnovni_podaci!D20,8,1)="S"),VLOOKUP( $B92, T_Aop[], 5, 1),A1)</f>
        <v>0</v>
      </c>
      <c r="D92" s="689" t="str">
        <f>IF(AND([0]!Godina=2022,MID(Osnovni_podaci!D20,3,1)="H",Osnovni_podaci!L24=3,Osnovni_podaci!G24=0,MID(Osnovni_podaci!D20,3,1)="H",MID(Osnovni_podaci!D20,8,1)="S"),VLOOKUP( $B92, T_Aop[], 6, 1),A1)</f>
        <v xml:space="preserve">  I. LOSS FROM OTHER INCOMES AND EXPENSES (261 - 251)</v>
      </c>
      <c r="E92" s="690"/>
      <c r="F92" s="690"/>
      <c r="G92" s="690"/>
      <c r="H92" s="691"/>
      <c r="I92" s="178">
        <f>VLOOKUP( $B92, T_Aop[], 4, 1)</f>
        <v>272</v>
      </c>
      <c r="J92" s="456"/>
      <c r="K92" s="254">
        <f>IF(AND([0]!Godina=2022,MID(Osnovni_podaci!D20,3,1)="H",Osnovni_podaci!L24=3,Osnovni_podaci!G24=0,MID(Osnovni_podaci!D20,3,1)="H",MID(Osnovni_podaci!D20,8,1)="S"),IF( SUBTOTAL( 9, K71:K80) - SUBTOTAL( 9, K81:K90) &gt;= 0, 0, ABS( SUBTOTAL( 9, K71:K80) - SUBTOTAL( 9, K81:K90)) ),A1)</f>
        <v>0</v>
      </c>
      <c r="L92" s="480">
        <f>IF(AND([0]!Godina=2022,MID(Osnovni_podaci!D20,3,1)="H",Osnovni_podaci!L24=3,Osnovni_podaci!G24=0,MID(Osnovni_podaci!D20,3,1)="H",MID(Osnovni_podaci!D20,8,1)="S"),IF( SUBTOTAL( 9, L71:L80) - SUBTOTAL( 9, L81:L90) &gt;= 0, 0, ABS( SUBTOTAL( 9, L71:L80) - SUBTOTAL( 9, L81:L90)) ),A1)</f>
        <v>0</v>
      </c>
      <c r="N92" s="44"/>
      <c r="P92" s="183"/>
    </row>
    <row r="93" spans="2:16" ht="23.25" customHeight="1" x14ac:dyDescent="0.3">
      <c r="B93" s="15">
        <v>211</v>
      </c>
      <c r="C93" s="188">
        <f>IF(AND([0]!Godina=2022,MID(Osnovni_podaci!D20,3,1)="H",Osnovni_podaci!L24=3,Osnovni_podaci!G24=0,MID(Osnovni_podaci!D20,3,1)="H",MID(Osnovni_podaci!D20,8,1)="S"),VLOOKUP( $B93, T_Aop[], 5, 1),A1)</f>
        <v>68</v>
      </c>
      <c r="D93" s="692" t="str">
        <f>IF(AND([0]!Godina=2022,MID(Osnovni_podaci!D20,3,1)="H",Osnovni_podaci!L24=3,Osnovni_podaci!G24=0,MID(Osnovni_podaci!D20,3,1)="H",MID(Osnovni_podaci!D20,8,1)="S"),VLOOKUP( $B93, T_Aop[], 6, 1),A1)</f>
        <v xml:space="preserve">  J. INCOME AND LOSSES FROM REVALUATION OF PROPERTY VALUE 
I INCOME FROM REVALUATION OF PROPERTY VALUE (274+281)</v>
      </c>
      <c r="E93" s="693"/>
      <c r="F93" s="693"/>
      <c r="G93" s="693"/>
      <c r="H93" s="694"/>
      <c r="I93" s="179">
        <f>VLOOKUP( $B93, T_Aop[], 4, 1)</f>
        <v>273</v>
      </c>
      <c r="J93" s="454"/>
      <c r="K93" s="67">
        <f>IF(AND([0]!Godina=2022,MID(Osnovni_podaci!D20,3,1)="H",Osnovni_podaci!L24=3,Osnovni_podaci!G24=0,MID(Osnovni_podaci!D20,3,1)="H",MID(Osnovni_podaci!D20,8,1)="S"),SUBTOTAL( 9, K94:K105),A1)</f>
        <v>0</v>
      </c>
      <c r="L93" s="479">
        <f>IF(AND([0]!Godina=2022,MID(Osnovni_podaci!D20,3,1)="H",Osnovni_podaci!L24=3,Osnovni_podaci!G24=0,MID(Osnovni_podaci!D20,3,1)="H",MID(Osnovni_podaci!D20,8,1)="S"),SUBTOTAL( 9, L94:L105),A1)</f>
        <v>0</v>
      </c>
      <c r="N93" s="44"/>
      <c r="P93" s="183"/>
    </row>
    <row r="94" spans="2:16" ht="13.5" customHeight="1" x14ac:dyDescent="0.3">
      <c r="B94" s="15">
        <v>212</v>
      </c>
      <c r="C94" s="58" t="str">
        <f>IF(AND([0]!Godina=2022,MID(Osnovni_podaci!D20,3,1)="H",Osnovni_podaci!L24=3,Osnovni_podaci!G24=0,MID(Osnovni_podaci!D20,3,1)="H",MID(Osnovni_podaci!D20,8,1)="S"),VLOOKUP( $B94, T_Aop[], 5, 1),A1)</f>
        <v>part 68</v>
      </c>
      <c r="D94" s="683" t="str">
        <f>IF(AND([0]!Godina=2022,MID(Osnovni_podaci!D20,3,1)="H",Osnovni_podaci!L24=3,Osnovni_podaci!G24=0,MID(Osnovni_podaci!D20,3,1)="H",MID(Osnovni_podaci!D20,8,1)="S"),VLOOKUP( $B94, T_Aop[], 6, 1),A1)</f>
        <v xml:space="preserve">    1. Net income from revaluation of assets (except financial) (275 to 280)</v>
      </c>
      <c r="E94" s="684"/>
      <c r="F94" s="684"/>
      <c r="G94" s="684"/>
      <c r="H94" s="685"/>
      <c r="I94" s="59">
        <f>VLOOKUP( $B94, T_Aop[], 4, 1)</f>
        <v>274</v>
      </c>
      <c r="J94" s="456"/>
      <c r="K94" s="153">
        <f>IF(AND([0]!Godina=2022,MID(Osnovni_podaci!D20,3,1)="H",Osnovni_podaci!L24=3,Osnovni_podaci!G24=0,MID(Osnovni_podaci!D20,3,1)="H",MID(Osnovni_podaci!D20,8,1)="S"),SUBTOTAL( 9, K95:K100),A1)</f>
        <v>0</v>
      </c>
      <c r="L94" s="491">
        <f>IF(AND([0]!Godina=2022,MID(Osnovni_podaci!D20,3,1)="H",Osnovni_podaci!L24=3,Osnovni_podaci!G24=0,MID(Osnovni_podaci!D20,3,1)="H",MID(Osnovni_podaci!D20,8,1)="S"),SUBTOTAL( 9, L95:L100),A1)</f>
        <v>0</v>
      </c>
      <c r="N94" s="44"/>
      <c r="P94" s="183"/>
    </row>
    <row r="95" spans="2:16" s="441" customFormat="1" ht="22.5" customHeight="1" x14ac:dyDescent="0.25">
      <c r="B95" s="440">
        <v>213</v>
      </c>
      <c r="C95" s="62" t="str">
        <f>IF(AND([0]!Godina=2022,MID(Osnovni_podaci!D20,3,1)="H",Osnovni_podaci!L24=3,Osnovni_podaci!G24=0,MID(Osnovni_podaci!D20,3,1)="H",MID(Osnovni_podaci!D20,8,1)="S"),VLOOKUP( $B95, T_Aop[], 5, 1),A1)</f>
        <v>680, 580 Net amount</v>
      </c>
      <c r="D95" s="686" t="str">
        <f>IF(AND([0]!Godina=2022,MID(Osnovni_podaci!D20,3,1)="H",Osnovni_podaci!L24=3,Osnovni_podaci!G24=0,MID(Osnovni_podaci!D20,3,1)="H",MID(Osnovni_podaci!D20,8,1)="S"),VLOOKUP( $B95, T_Aop[], 6, 1),A1)</f>
        <v xml:space="preserve">      1.1. Net income from decrease of earlier recognized losses due to the impairment of intangible assets</v>
      </c>
      <c r="E95" s="687"/>
      <c r="F95" s="687"/>
      <c r="G95" s="687"/>
      <c r="H95" s="688"/>
      <c r="I95" s="63">
        <f>VLOOKUP( $B95, T_Aop[], 4, 1)</f>
        <v>275</v>
      </c>
      <c r="J95" s="454"/>
      <c r="K95" s="454"/>
      <c r="L95" s="455"/>
      <c r="N95" s="442"/>
      <c r="P95" s="443"/>
    </row>
    <row r="96" spans="2:16" s="441" customFormat="1" ht="22.5" customHeight="1" x14ac:dyDescent="0.25">
      <c r="B96" s="440">
        <v>214</v>
      </c>
      <c r="C96" s="58" t="str">
        <f>IF(AND([0]!Godina=2022,MID(Osnovni_podaci!D20,3,1)="H",Osnovni_podaci!L24=3,Osnovni_podaci!G24=0,MID(Osnovni_podaci!D20,3,1)="H",MID(Osnovni_podaci!D20,8,1)="S"),VLOOKUP( $B96, T_Aop[], 5, 1),A1)</f>
        <v>681, 581 Net amount</v>
      </c>
      <c r="D96" s="683" t="str">
        <f>IF(AND([0]!Godina=2022,MID(Osnovni_podaci!D20,3,1)="H",Osnovni_podaci!L24=3,Osnovni_podaci!G24=0,MID(Osnovni_podaci!D20,3,1)="H",MID(Osnovni_podaci!D20,8,1)="S"),VLOOKUP( $B96, T_Aop[], 6, 1),A1)</f>
        <v xml:space="preserve">      1.2. Net income from decrease of earlier recognized losses due to the impairment of real estates, plant and equipment</v>
      </c>
      <c r="E96" s="684"/>
      <c r="F96" s="684"/>
      <c r="G96" s="684"/>
      <c r="H96" s="685"/>
      <c r="I96" s="59">
        <f>VLOOKUP( $B96, T_Aop[], 4, 1)</f>
        <v>276</v>
      </c>
      <c r="J96" s="456"/>
      <c r="K96" s="456"/>
      <c r="L96" s="457"/>
      <c r="N96" s="442"/>
      <c r="P96" s="443"/>
    </row>
    <row r="97" spans="2:16" s="441" customFormat="1" ht="22.5" customHeight="1" x14ac:dyDescent="0.25">
      <c r="B97" s="440">
        <v>215</v>
      </c>
      <c r="C97" s="62" t="str">
        <f>IF(AND([0]!Godina=2022,MID(Osnovni_podaci!D20,3,1)="H",Osnovni_podaci!L24=3,Osnovni_podaci!G24=0,MID(Osnovni_podaci!D20,3,1)="H",MID(Osnovni_podaci!D20,8,1)="S"),VLOOKUP( $B97, T_Aop[], 5, 1),A1)</f>
        <v>682, 582 Net amount</v>
      </c>
      <c r="D97" s="686" t="str">
        <f>IF(AND([0]!Godina=2022,MID(Osnovni_podaci!D20,3,1)="H",Osnovni_podaci!L24=3,Osnovni_podaci!G24=0,MID(Osnovni_podaci!D20,3,1)="H",MID(Osnovni_podaci!D20,8,1)="S"),VLOOKUP( $B97, T_Aop[], 6, 1),A1)</f>
        <v xml:space="preserve">      1.3. Net income from decrease of earlier recognized losses due to the impairment of investment property which are valued at cost price</v>
      </c>
      <c r="E97" s="687"/>
      <c r="F97" s="687"/>
      <c r="G97" s="687"/>
      <c r="H97" s="688"/>
      <c r="I97" s="63">
        <f>VLOOKUP( $B97, T_Aop[], 4, 1)</f>
        <v>277</v>
      </c>
      <c r="J97" s="454"/>
      <c r="K97" s="454"/>
      <c r="L97" s="455"/>
      <c r="N97" s="442"/>
      <c r="P97" s="443"/>
    </row>
    <row r="98" spans="2:16" ht="22.5" customHeight="1" x14ac:dyDescent="0.3">
      <c r="B98" s="15">
        <v>216</v>
      </c>
      <c r="C98" s="58" t="str">
        <f>IF(AND([0]!Godina=2022,MID(Osnovni_podaci!D20,3,1)="H",Osnovni_podaci!L24=3,Osnovni_podaci!G24=0,MID(Osnovni_podaci!D20,3,1)="H",MID(Osnovni_podaci!D20,8,1)="S"),VLOOKUP( $B98, T_Aop[], 5, 1),A1)</f>
        <v>683, 583 Net amount</v>
      </c>
      <c r="D98" s="683" t="str">
        <f>IF(AND([0]!Godina=2022,MID(Osnovni_podaci!D20,3,1)="H",Osnovni_podaci!L24=3,Osnovni_podaci!G24=0,MID(Osnovni_podaci!D20,3,1)="H",MID(Osnovni_podaci!D20,8,1)="S"),VLOOKUP( $B98, T_Aop[], 6, 1),A1)</f>
        <v xml:space="preserve">      1.4. Net income from decrease of earlier recognized losses due to the impairment of biological assets which are valued at cost price</v>
      </c>
      <c r="E98" s="684"/>
      <c r="F98" s="684"/>
      <c r="G98" s="684"/>
      <c r="H98" s="685"/>
      <c r="I98" s="59">
        <f>VLOOKUP( $B98, T_Aop[], 4, 1)</f>
        <v>278</v>
      </c>
      <c r="J98" s="456"/>
      <c r="K98" s="456"/>
      <c r="L98" s="457"/>
      <c r="N98" s="44"/>
      <c r="P98" s="183"/>
    </row>
    <row r="99" spans="2:16" ht="22.5" customHeight="1" x14ac:dyDescent="0.3">
      <c r="B99" s="15">
        <v>217</v>
      </c>
      <c r="C99" s="62" t="str">
        <f>IF(AND([0]!Godina=2022,MID(Osnovni_podaci!D20,3,1)="H",Osnovni_podaci!L24=3,Osnovni_podaci!G24=0,MID(Osnovni_podaci!D20,3,1)="H",MID(Osnovni_podaci!D20,8,1)="S"),VLOOKUP( $B99, T_Aop[], 5, 1),A1)</f>
        <v>685, 585 Net amount</v>
      </c>
      <c r="D99" s="686" t="str">
        <f>IF(AND([0]!Godina=2022,MID(Osnovni_podaci!D20,3,1)="H",Osnovni_podaci!L24=3,Osnovni_podaci!G24=0,MID(Osnovni_podaci!D20,3,1)="H",MID(Osnovni_podaci!D20,8,1)="S"),VLOOKUP( $B99, T_Aop[], 6, 1),A1)</f>
        <v xml:space="preserve">      1.5. Net income from revaluation inventories of material and goods</v>
      </c>
      <c r="E99" s="687"/>
      <c r="F99" s="687"/>
      <c r="G99" s="687"/>
      <c r="H99" s="688"/>
      <c r="I99" s="63">
        <f>VLOOKUP( $B99, T_Aop[], 4, 1)</f>
        <v>279</v>
      </c>
      <c r="J99" s="454"/>
      <c r="K99" s="454"/>
      <c r="L99" s="455"/>
      <c r="N99" s="44"/>
      <c r="P99" s="184" t="s">
        <v>313</v>
      </c>
    </row>
    <row r="100" spans="2:16" ht="22.5" customHeight="1" x14ac:dyDescent="0.3">
      <c r="B100" s="15">
        <v>218</v>
      </c>
      <c r="C100" s="58" t="str">
        <f>IF(AND([0]!Godina=2022,MID(Osnovni_podaci!D20,3,1)="H",Osnovni_podaci!L24=3,Osnovni_podaci!G24=0,MID(Osnovni_podaci!D20,3,1)="H",MID(Osnovni_podaci!D20,8,1)="S"),VLOOKUP( $B100, T_Aop[], 5, 1),A1)</f>
        <v>688, дио 689, 588, дио 589нето приказ</v>
      </c>
      <c r="D100" s="683" t="str">
        <f>IF(AND([0]!Godina=2022,MID(Osnovni_podaci!D20,3,1)="H",Osnovni_podaci!L24=3,Osnovni_podaci!G24=0,MID(Osnovni_podaci!D20,3,1)="H",MID(Osnovni_podaci!D20,8,1)="S"),VLOOKUP( $B100, T_Aop[], 6, 1),A1)</f>
        <v xml:space="preserve">      1.6. Net income from revaluation of fixed assest for sale, discontinued operations assets and other non-financial  assets</v>
      </c>
      <c r="E100" s="684"/>
      <c r="F100" s="684"/>
      <c r="G100" s="684"/>
      <c r="H100" s="685"/>
      <c r="I100" s="59">
        <f>VLOOKUP( $B100, T_Aop[], 4, 1)</f>
        <v>280</v>
      </c>
      <c r="J100" s="456"/>
      <c r="K100" s="456"/>
      <c r="L100" s="457"/>
      <c r="N100" s="44"/>
      <c r="P100" s="183"/>
    </row>
    <row r="101" spans="2:16" ht="13.5" customHeight="1" x14ac:dyDescent="0.3">
      <c r="B101" s="15">
        <v>219</v>
      </c>
      <c r="C101" s="62" t="str">
        <f>IF(AND([0]!Godina=2022,MID(Osnovni_podaci!D20,3,1)="H",Osnovni_podaci!L24=3,Osnovni_podaci!G24=0,MID(Osnovni_podaci!D20,3,1)="H",MID(Osnovni_podaci!D20,8,1)="S"),VLOOKUP( $B101, T_Aop[], 5, 1),A1)</f>
        <v>part 69</v>
      </c>
      <c r="D101" s="686" t="str">
        <f>IF(AND([0]!Godina=2022,MID(Osnovni_podaci!D20,3,1)="H",Osnovni_podaci!L24=3,Osnovni_podaci!G24=0,MID(Osnovni_podaci!D20,3,1)="H",MID(Osnovni_podaci!D20,8,1)="S"),VLOOKUP( $B101, T_Aop[], 6, 1),A1)</f>
        <v xml:space="preserve">    2. Net income from revaluation of financial assets (282 to 285)</v>
      </c>
      <c r="E101" s="687"/>
      <c r="F101" s="687"/>
      <c r="G101" s="687"/>
      <c r="H101" s="688"/>
      <c r="I101" s="63">
        <f>VLOOKUP( $B101, T_Aop[], 4, 1)</f>
        <v>281</v>
      </c>
      <c r="J101" s="454"/>
      <c r="K101" s="460">
        <f>IF(AND([0]!Godina=2022,MID(Osnovni_podaci!D20,3,1)="H",Osnovni_podaci!L24=3,Osnovni_podaci!G24=0,MID(Osnovni_podaci!D20,3,1)="H",MID(Osnovni_podaci!D20,8,1)="S"),SUBTOTAL( 9, K102:K105),A1)</f>
        <v>0</v>
      </c>
      <c r="L101" s="492">
        <f>IF(AND([0]!Godina=2022,MID(Osnovni_podaci!D20,3,1)="H",Osnovni_podaci!L24=3,Osnovni_podaci!G24=0,MID(Osnovni_podaci!D20,3,1)="H",MID(Osnovni_podaci!D20,8,1)="S"),SUBTOTAL( 9, L102:L105),A1)</f>
        <v>0</v>
      </c>
      <c r="N101" s="44"/>
      <c r="P101" s="183"/>
    </row>
    <row r="102" spans="2:16" ht="22.5" customHeight="1" x14ac:dyDescent="0.3">
      <c r="B102" s="15">
        <v>220</v>
      </c>
      <c r="C102" s="58" t="str">
        <f>IF(AND([0]!Godina=2022,MID(Osnovni_podaci!D20,3,1)="H",Osnovni_podaci!L24=3,Osnovni_podaci!G24=0,MID(Osnovni_podaci!D20,3,1)="H",MID(Osnovni_podaci!D20,8,1)="S"),VLOOKUP( $B102, T_Aop[], 5, 1),A1)</f>
        <v>684, 584 Net amount</v>
      </c>
      <c r="D102" s="683" t="str">
        <f>IF(AND([0]!Godina=2022,MID(Osnovni_podaci!D20,3,1)="H",Osnovni_podaci!L24=3,Osnovni_podaci!G24=0,MID(Osnovni_podaci!D20,3,1)="H",MID(Osnovni_podaci!D20,8,1)="S"),VLOOKUP( $B102, T_Aop[], 6, 1),A1)</f>
        <v xml:space="preserve">      2.1 Net income from revaluation of long-term financial assets</v>
      </c>
      <c r="E102" s="684"/>
      <c r="F102" s="684"/>
      <c r="G102" s="684"/>
      <c r="H102" s="685"/>
      <c r="I102" s="59">
        <f>VLOOKUP( $B102, T_Aop[], 4, 1)</f>
        <v>282</v>
      </c>
      <c r="J102" s="456"/>
      <c r="K102" s="456"/>
      <c r="L102" s="457"/>
      <c r="N102" s="44"/>
      <c r="P102" s="183"/>
    </row>
    <row r="103" spans="2:16" ht="22.5" customHeight="1" x14ac:dyDescent="0.3">
      <c r="B103" s="15">
        <v>221</v>
      </c>
      <c r="C103" s="62" t="str">
        <f>IF(AND([0]!Godina=2022,MID(Osnovni_podaci!D20,3,1)="H",Osnovni_podaci!L24=3,Osnovni_podaci!G24=0,MID(Osnovni_podaci!D20,3,1)="H",MID(Osnovni_podaci!D20,8,1)="S"),VLOOKUP( $B103, T_Aop[], 5, 1),A1)</f>
        <v>686, 585 Net amount</v>
      </c>
      <c r="D103" s="686" t="str">
        <f>IF(AND([0]!Godina=2022,MID(Osnovni_podaci!D20,3,1)="H",Osnovni_podaci!L24=3,Osnovni_podaci!G24=0,MID(Osnovni_podaci!D20,3,1)="H",MID(Osnovni_podaci!D20,8,1)="S"),VLOOKUP( $B103, T_Aop[], 6, 1),A1)</f>
        <v xml:space="preserve">      2.2 Net income from revaluation of short-term financial assets (except custumers receivables)</v>
      </c>
      <c r="E103" s="687"/>
      <c r="F103" s="687"/>
      <c r="G103" s="687"/>
      <c r="H103" s="688"/>
      <c r="I103" s="63">
        <f>VLOOKUP( $B103, T_Aop[], 4, 1)</f>
        <v>283</v>
      </c>
      <c r="J103" s="454"/>
      <c r="K103" s="454"/>
      <c r="L103" s="455"/>
      <c r="N103" s="44"/>
      <c r="P103" s="183"/>
    </row>
    <row r="104" spans="2:16" ht="22.5" customHeight="1" x14ac:dyDescent="0.3">
      <c r="B104" s="15">
        <v>222</v>
      </c>
      <c r="C104" s="58" t="str">
        <f>IF(AND([0]!Godina=2022,MID(Osnovni_podaci!D20,3,1)="H",Osnovni_podaci!L24=3,Osnovni_podaci!G24=0,MID(Osnovni_podaci!D20,3,1)="H",MID(Osnovni_podaci!D20,8,1)="S"),VLOOKUP( $B104, T_Aop[], 5, 1),A1)</f>
        <v>687, 587 Net amount</v>
      </c>
      <c r="D104" s="683" t="str">
        <f>IF(AND([0]!Godina=2022,MID(Osnovni_podaci!D20,3,1)="H",Osnovni_podaci!L24=3,Osnovni_podaci!G24=0,MID(Osnovni_podaci!D20,3,1)="H",MID(Osnovni_podaci!D20,8,1)="S"),VLOOKUP( $B104, T_Aop[], 6, 1),A1)</f>
        <v xml:space="preserve">      2.3 Net income form decrease of earlier recognized loans losses due to the impairment of customers receivables</v>
      </c>
      <c r="E104" s="684"/>
      <c r="F104" s="684"/>
      <c r="G104" s="684"/>
      <c r="H104" s="685"/>
      <c r="I104" s="59">
        <f>VLOOKUP( $B104, T_Aop[], 4, 1)</f>
        <v>284</v>
      </c>
      <c r="J104" s="456"/>
      <c r="K104" s="456"/>
      <c r="L104" s="457"/>
      <c r="N104" s="44"/>
      <c r="P104" s="183"/>
    </row>
    <row r="105" spans="2:16" ht="27.75" customHeight="1" x14ac:dyDescent="0.3">
      <c r="B105" s="15">
        <v>223</v>
      </c>
      <c r="C105" s="62" t="str">
        <f>IF(AND([0]!Godina=2022,MID(Osnovni_podaci!D20,3,1)="H",Osnovni_podaci!L24=3,Osnovni_podaci!G24=0,MID(Osnovni_podaci!D20,3,1)="H",MID(Osnovni_podaci!D20,8,1)="S"),VLOOKUP( $B105, T_Aop[], 5, 1),A1)</f>
        <v>part 689, part 589 Net amount</v>
      </c>
      <c r="D105" s="686" t="str">
        <f>IF(AND([0]!Godina=2022,MID(Osnovni_podaci!D20,3,1)="H",Osnovni_podaci!L24=3,Osnovni_podaci!G24=0,MID(Osnovni_podaci!D20,3,1)="H",MID(Osnovni_podaci!D20,8,1)="S"),VLOOKUP( $B105, T_Aop[], 6, 1),A1)</f>
        <v xml:space="preserve">      2.4 Net income from revaluation of other financial assets</v>
      </c>
      <c r="E105" s="687"/>
      <c r="F105" s="687"/>
      <c r="G105" s="687"/>
      <c r="H105" s="688"/>
      <c r="I105" s="63">
        <f>VLOOKUP( $B105, T_Aop[], 4, 1)</f>
        <v>285</v>
      </c>
      <c r="J105" s="454"/>
      <c r="K105" s="454"/>
      <c r="L105" s="455"/>
      <c r="N105" s="44"/>
      <c r="P105" s="183"/>
    </row>
    <row r="106" spans="2:16" ht="15" customHeight="1" x14ac:dyDescent="0.3">
      <c r="B106" s="15">
        <v>224</v>
      </c>
      <c r="C106" s="187">
        <f>IF(AND([0]!Godina=2022,MID(Osnovni_podaci!D20,3,1)="H",Osnovni_podaci!L24=3,Osnovni_podaci!G24=0,MID(Osnovni_podaci!D20,3,1)="H",MID(Osnovni_podaci!D20,8,1)="S"),VLOOKUP( $B106, T_Aop[], 5, 1),A1)</f>
        <v>58</v>
      </c>
      <c r="D106" s="689" t="str">
        <f>IF(AND([0]!Godina=2022,MID(Osnovni_podaci!D20,3,1)="H",Osnovni_podaci!L24=3,Osnovni_podaci!G24=0,MID(Osnovni_podaci!D20,3,1)="H",MID(Osnovni_podaci!D20,8,1)="S"),VLOOKUP( $B106, T_Aop[], 6, 1),A1)</f>
        <v xml:space="preserve">  II EXPENSES FROM REVALUATION OF PROPERTY VALUE (287 + 294)</v>
      </c>
      <c r="E106" s="690"/>
      <c r="F106" s="690"/>
      <c r="G106" s="690"/>
      <c r="H106" s="691"/>
      <c r="I106" s="178">
        <f>VLOOKUP( $B106, T_Aop[], 4, 1)</f>
        <v>286</v>
      </c>
      <c r="J106" s="456"/>
      <c r="K106" s="60">
        <f>IF(AND([0]!Godina=2022,MID(Osnovni_podaci!D20,3,1)="H",Osnovni_podaci!L24=3,Osnovni_podaci!G24=0,MID(Osnovni_podaci!D20,3,1)="H",MID(Osnovni_podaci!D20,8,1)="S"),SUBTOTAL( 9, K107:K118),A1)</f>
        <v>0</v>
      </c>
      <c r="L106" s="61">
        <f>IF(AND([0]!Godina=2022,MID(Osnovni_podaci!D20,3,1)="H",Osnovni_podaci!L24=3,Osnovni_podaci!G24=0,MID(Osnovni_podaci!D20,3,1)="H",MID(Osnovni_podaci!D20,8,1)="S"),SUBTOTAL( 9, L107:L118),A1)</f>
        <v>0</v>
      </c>
      <c r="N106" s="44"/>
      <c r="P106" s="183"/>
    </row>
    <row r="107" spans="2:16" ht="13.5" customHeight="1" x14ac:dyDescent="0.3">
      <c r="B107" s="15">
        <v>225</v>
      </c>
      <c r="C107" s="62">
        <f>IF(AND([0]!Godina=2022,MID(Osnovni_podaci!D20,3,1)="H",Osnovni_podaci!L24=3,Osnovni_podaci!G24=0,MID(Osnovni_podaci!D20,3,1)="H",MID(Osnovni_podaci!D20,8,1)="S"),VLOOKUP( $B107, T_Aop[], 5, 1),A1)</f>
        <v>0</v>
      </c>
      <c r="D107" s="686" t="str">
        <f>IF(AND([0]!Godina=2022,MID(Osnovni_podaci!D20,3,1)="H",Osnovni_podaci!L24=3,Osnovni_podaci!G24=0,MID(Osnovni_podaci!D20,3,1)="H",MID(Osnovni_podaci!D20,8,1)="S"),VLOOKUP( $B107, T_Aop[], 6, 1),A1)</f>
        <v xml:space="preserve">    1. Expenses from revaluation of assets (except financial assets) (288 to 293)</v>
      </c>
      <c r="E107" s="687"/>
      <c r="F107" s="687"/>
      <c r="G107" s="687"/>
      <c r="H107" s="688"/>
      <c r="I107" s="63">
        <f>VLOOKUP( $B107, T_Aop[], 4, 1)</f>
        <v>287</v>
      </c>
      <c r="J107" s="454"/>
      <c r="K107" s="460">
        <f>IF(AND([0]!Godina=2022,MID(Osnovni_podaci!D20,3,1)="H",Osnovni_podaci!L24=3,Osnovni_podaci!G24=0,MID(Osnovni_podaci!D20,3,1)="H",MID(Osnovni_podaci!D20,8,1)="S"),SUBTOTAL( 9, K108:K113),A1)</f>
        <v>0</v>
      </c>
      <c r="L107" s="461">
        <f>IF(AND([0]!Godina=2022,MID(Osnovni_podaci!D20,3,1)="H",Osnovni_podaci!L24=3,Osnovni_podaci!G24=0,MID(Osnovni_podaci!D20,3,1)="H",MID(Osnovni_podaci!D20,8,1)="S"),SUBTOTAL( 9, L108:L113),A1)</f>
        <v>0</v>
      </c>
      <c r="N107" s="44"/>
      <c r="P107" s="183"/>
    </row>
    <row r="108" spans="2:16" ht="22.5" customHeight="1" x14ac:dyDescent="0.3">
      <c r="B108" s="15">
        <v>226</v>
      </c>
      <c r="C108" s="58" t="str">
        <f>IF(AND([0]!Godina=2022,MID(Osnovni_podaci!D20,3,1)="H",Osnovni_podaci!L24=3,Osnovni_podaci!G24=0,MID(Osnovni_podaci!D20,3,1)="H",MID(Osnovni_podaci!D20,8,1)="S"),VLOOKUP( $B108, T_Aop[], 5, 1),A1)</f>
        <v>580, 680</v>
      </c>
      <c r="D108" s="683" t="str">
        <f>IF(AND([0]!Godina=2022,MID(Osnovni_podaci!D20,3,1)="H",Osnovni_podaci!L24=3,Osnovni_podaci!G24=0,MID(Osnovni_podaci!D20,3,1)="H",MID(Osnovni_podaci!D20,8,1)="S"),VLOOKUP( $B108, T_Aop[], 6, 1),A1)</f>
        <v xml:space="preserve">      1.1. Net losses due to the impairment of intangible assests</v>
      </c>
      <c r="E108" s="684"/>
      <c r="F108" s="684"/>
      <c r="G108" s="684"/>
      <c r="H108" s="685"/>
      <c r="I108" s="59">
        <f>VLOOKUP( $B108, T_Aop[], 4, 1)</f>
        <v>288</v>
      </c>
      <c r="J108" s="456"/>
      <c r="K108" s="456"/>
      <c r="L108" s="457"/>
      <c r="N108" s="44"/>
      <c r="P108" s="183"/>
    </row>
    <row r="109" spans="2:16" ht="22.5" customHeight="1" x14ac:dyDescent="0.3">
      <c r="B109" s="15">
        <v>227</v>
      </c>
      <c r="C109" s="62" t="str">
        <f>IF(AND([0]!Godina=2022,MID(Osnovni_podaci!D20,3,1)="H",Osnovni_podaci!L24=3,Osnovni_podaci!G24=0,MID(Osnovni_podaci!D20,3,1)="H",MID(Osnovni_podaci!D20,8,1)="S"),VLOOKUP( $B109, T_Aop[], 5, 1),A1)</f>
        <v>581, 681 Net amount</v>
      </c>
      <c r="D109" s="686" t="str">
        <f>IF(AND([0]!Godina=2022,MID(Osnovni_podaci!D20,3,1)="H",Osnovni_podaci!L24=3,Osnovni_podaci!G24=0,MID(Osnovni_podaci!D20,3,1)="H",MID(Osnovni_podaci!D20,8,1)="S"),VLOOKUP( $B109, T_Aop[], 6, 1),A1)</f>
        <v xml:space="preserve">      1.2. Net losses due to the impairment of real estates, plant and equipment</v>
      </c>
      <c r="E109" s="687"/>
      <c r="F109" s="687"/>
      <c r="G109" s="687"/>
      <c r="H109" s="688"/>
      <c r="I109" s="63">
        <f>VLOOKUP( $B109, T_Aop[], 4, 1)</f>
        <v>289</v>
      </c>
      <c r="J109" s="454"/>
      <c r="K109" s="454"/>
      <c r="L109" s="455"/>
      <c r="N109" s="44"/>
      <c r="P109" s="183"/>
    </row>
    <row r="110" spans="2:16" ht="22.5" customHeight="1" x14ac:dyDescent="0.3">
      <c r="B110" s="15">
        <v>228</v>
      </c>
      <c r="C110" s="58" t="str">
        <f>IF(AND([0]!Godina=2022,MID(Osnovni_podaci!D20,3,1)="H",Osnovni_podaci!L24=3,Osnovni_podaci!G24=0,MID(Osnovni_podaci!D20,3,1)="H",MID(Osnovni_podaci!D20,8,1)="S"),VLOOKUP( $B110, T_Aop[], 5, 1),A1)</f>
        <v>582, 682 Net amount</v>
      </c>
      <c r="D110" s="683" t="str">
        <f>IF(AND([0]!Godina=2022,MID(Osnovni_podaci!D20,3,1)="H",Osnovni_podaci!L24=3,Osnovni_podaci!G24=0,MID(Osnovni_podaci!D20,3,1)="H",MID(Osnovni_podaci!D20,8,1)="S"),VLOOKUP( $B110, T_Aop[], 6, 1),A1)</f>
        <v xml:space="preserve">      1.3. Net losses due to the impairment of investment real estates which are valued at cost price</v>
      </c>
      <c r="E110" s="684"/>
      <c r="F110" s="684"/>
      <c r="G110" s="684"/>
      <c r="H110" s="685"/>
      <c r="I110" s="59">
        <f>VLOOKUP( $B110, T_Aop[], 4, 1)</f>
        <v>290</v>
      </c>
      <c r="J110" s="456"/>
      <c r="K110" s="456"/>
      <c r="L110" s="457"/>
      <c r="N110" s="44"/>
      <c r="P110" s="183"/>
    </row>
    <row r="111" spans="2:16" ht="22.5" customHeight="1" x14ac:dyDescent="0.3">
      <c r="B111" s="15">
        <v>229</v>
      </c>
      <c r="C111" s="62" t="str">
        <f>IF(AND([0]!Godina=2022,MID(Osnovni_podaci!D20,3,1)="H",Osnovni_podaci!L24=3,Osnovni_podaci!G24=0,MID(Osnovni_podaci!D20,3,1)="H",MID(Osnovni_podaci!D20,8,1)="S"),VLOOKUP( $B111, T_Aop[], 5, 1),A1)</f>
        <v>583, 683 Net amount</v>
      </c>
      <c r="D111" s="686" t="str">
        <f>IF(AND([0]!Godina=2022,MID(Osnovni_podaci!D20,3,1)="H",Osnovni_podaci!L24=3,Osnovni_podaci!G24=0,MID(Osnovni_podaci!D20,3,1)="H",MID(Osnovni_podaci!D20,8,1)="S"),VLOOKUP( $B111, T_Aop[], 6, 1),A1)</f>
        <v xml:space="preserve">      1.4. Net losses due to the impairment of biological assets valued which are valued at cost price</v>
      </c>
      <c r="E111" s="687"/>
      <c r="F111" s="687"/>
      <c r="G111" s="687"/>
      <c r="H111" s="688"/>
      <c r="I111" s="63">
        <f>VLOOKUP( $B111, T_Aop[], 4, 1)</f>
        <v>291</v>
      </c>
      <c r="J111" s="454"/>
      <c r="K111" s="454"/>
      <c r="L111" s="455"/>
      <c r="N111" s="44"/>
      <c r="P111" s="183"/>
    </row>
    <row r="112" spans="2:16" ht="22.5" customHeight="1" x14ac:dyDescent="0.3">
      <c r="B112" s="15">
        <v>230</v>
      </c>
      <c r="C112" s="58" t="str">
        <f>IF(AND([0]!Godina=2022,MID(Osnovni_podaci!D20,3,1)="H",Osnovni_podaci!L24=3,Osnovni_podaci!G24=0,MID(Osnovni_podaci!D20,3,1)="H",MID(Osnovni_podaci!D20,8,1)="S"),VLOOKUP( $B112, T_Aop[], 5, 1),A1)</f>
        <v>585, 685 Net amount</v>
      </c>
      <c r="D112" s="683" t="str">
        <f>IF(AND([0]!Godina=2022,MID(Osnovni_podaci!D20,3,1)="H",Osnovni_podaci!L24=3,Osnovni_podaci!G24=0,MID(Osnovni_podaci!D20,3,1)="H",MID(Osnovni_podaci!D20,8,1)="S"),VLOOKUP( $B112, T_Aop[], 6, 1),A1)</f>
        <v xml:space="preserve">      1.5. Net losses due to the revaluation of inventories of materials and goods</v>
      </c>
      <c r="E112" s="684"/>
      <c r="F112" s="684"/>
      <c r="G112" s="684"/>
      <c r="H112" s="685"/>
      <c r="I112" s="59">
        <f>VLOOKUP( $B112, T_Aop[], 4, 1)</f>
        <v>292</v>
      </c>
      <c r="J112" s="456"/>
      <c r="K112" s="456"/>
      <c r="L112" s="457"/>
      <c r="N112" s="44"/>
      <c r="P112" s="183"/>
    </row>
    <row r="113" spans="2:16" ht="22.5" customHeight="1" x14ac:dyDescent="0.3">
      <c r="B113" s="15">
        <v>231</v>
      </c>
      <c r="C113" s="62" t="str">
        <f>IF(AND([0]!Godina=2022,MID(Osnovni_podaci!D20,3,1)="H",Osnovni_podaci!L24=3,Osnovni_podaci!G24=0,MID(Osnovni_podaci!D20,3,1)="H",MID(Osnovni_podaci!D20,8,1)="S"),VLOOKUP( $B113, T_Aop[], 5, 1),A1)</f>
        <v>588, part 589, 688, part 690</v>
      </c>
      <c r="D113" s="686" t="str">
        <f>IF(AND([0]!Godina=2022,MID(Osnovni_podaci!D20,3,1)="H",Osnovni_podaci!L24=3,Osnovni_podaci!G24=0,MID(Osnovni_podaci!D20,3,1)="H",MID(Osnovni_podaci!D20,8,1)="S"),VLOOKUP( $B113, T_Aop[], 6, 1),A1)</f>
        <v xml:space="preserve">      1.6. Net losses from revaluation of fixed assest for sale, discontinued operations assets and other non-financial  assets</v>
      </c>
      <c r="E113" s="687"/>
      <c r="F113" s="687"/>
      <c r="G113" s="687"/>
      <c r="H113" s="688"/>
      <c r="I113" s="63">
        <f>VLOOKUP( $B113, T_Aop[], 4, 1)</f>
        <v>293</v>
      </c>
      <c r="J113" s="454"/>
      <c r="K113" s="454"/>
      <c r="L113" s="455"/>
      <c r="N113" s="44"/>
      <c r="P113" s="183"/>
    </row>
    <row r="114" spans="2:16" ht="15" customHeight="1" x14ac:dyDescent="0.3">
      <c r="B114" s="15">
        <v>232</v>
      </c>
      <c r="C114" s="58">
        <f>IF(AND([0]!Godina=2022,MID(Osnovni_podaci!D20,3,1)="H",Osnovni_podaci!L24=3,Osnovni_podaci!G24=0,MID(Osnovni_podaci!D20,3,1)="H",MID(Osnovni_podaci!D20,8,1)="S"),VLOOKUP( $B114, T_Aop[], 5, 1),A1)</f>
        <v>0</v>
      </c>
      <c r="D114" s="683" t="str">
        <f>IF(AND([0]!Godina=2022,MID(Osnovni_podaci!D20,3,1)="H",Osnovni_podaci!L24=3,Osnovni_podaci!G24=0,MID(Osnovni_podaci!D20,3,1)="H",MID(Osnovni_podaci!D20,8,1)="S"),VLOOKUP( $B114, T_Aop[], 6, 1),A1)</f>
        <v xml:space="preserve">    2. Net losses from revaluation of financial assets (295 to 298)</v>
      </c>
      <c r="E114" s="684"/>
      <c r="F114" s="684"/>
      <c r="G114" s="684"/>
      <c r="H114" s="685"/>
      <c r="I114" s="59">
        <f>VLOOKUP( $B114, T_Aop[], 4, 1)</f>
        <v>294</v>
      </c>
      <c r="J114" s="456"/>
      <c r="K114" s="458">
        <f>IF(AND([0]!Godina=2022,MID(Osnovni_podaci!D20,3,1)="H",Osnovni_podaci!L24=3,Osnovni_podaci!G24=0,MID(Osnovni_podaci!D20,3,1)="H",MID(Osnovni_podaci!D20,8,1)="S"),SUBTOTAL( 9, K115:K118),A1)</f>
        <v>0</v>
      </c>
      <c r="L114" s="459">
        <f>IF(AND([0]!Godina=2022,MID(Osnovni_podaci!D20,3,1)="H",Osnovni_podaci!L24=3,Osnovni_podaci!G24=0,MID(Osnovni_podaci!D20,3,1)="H",MID(Osnovni_podaci!D20,8,1)="S"),SUBTOTAL( 9, L115:L118),A1)</f>
        <v>0</v>
      </c>
      <c r="N114" s="44"/>
      <c r="P114" s="183"/>
    </row>
    <row r="115" spans="2:16" ht="22.5" customHeight="1" x14ac:dyDescent="0.3">
      <c r="B115" s="15">
        <v>233</v>
      </c>
      <c r="C115" s="62" t="str">
        <f>IF(AND([0]!Godina=2022,MID(Osnovni_podaci!D20,3,1)="H",Osnovni_podaci!L24=3,Osnovni_podaci!G24=0,MID(Osnovni_podaci!D20,3,1)="H",MID(Osnovni_podaci!D20,8,1)="S"),VLOOKUP( $B115, T_Aop[], 5, 1),A1)</f>
        <v>584, 684</v>
      </c>
      <c r="D115" s="686" t="str">
        <f>IF(AND([0]!Godina=2022,MID(Osnovni_podaci!D20,3,1)="H",Osnovni_podaci!L24=3,Osnovni_podaci!G24=0,MID(Osnovni_podaci!D20,3,1)="H",MID(Osnovni_podaci!D20,8,1)="S"),VLOOKUP( $B115, T_Aop[], 6, 1),A1)</f>
        <v xml:space="preserve">      2.1 Net losses from revaluation of long-term financial assets</v>
      </c>
      <c r="E115" s="687"/>
      <c r="F115" s="687"/>
      <c r="G115" s="687"/>
      <c r="H115" s="688"/>
      <c r="I115" s="63">
        <f>VLOOKUP( $B115, T_Aop[], 4, 1)</f>
        <v>295</v>
      </c>
      <c r="J115" s="454"/>
      <c r="K115" s="454"/>
      <c r="L115" s="455"/>
      <c r="N115" s="44"/>
      <c r="P115" s="183"/>
    </row>
    <row r="116" spans="2:16" ht="22.5" customHeight="1" x14ac:dyDescent="0.3">
      <c r="B116" s="15">
        <v>234</v>
      </c>
      <c r="C116" s="58" t="str">
        <f>IF(AND([0]!Godina=2022,MID(Osnovni_podaci!D20,3,1)="H",Osnovni_podaci!L24=3,Osnovni_podaci!G24=0,MID(Osnovni_podaci!D20,3,1)="H",MID(Osnovni_podaci!D20,8,1)="S"),VLOOKUP( $B116, T_Aop[], 5, 1),A1)</f>
        <v>586, 686 Net amount</v>
      </c>
      <c r="D116" s="683" t="str">
        <f>IF(AND([0]!Godina=2022,MID(Osnovni_podaci!D20,3,1)="H",Osnovni_podaci!L24=3,Osnovni_podaci!G24=0,MID(Osnovni_podaci!D20,3,1)="H",MID(Osnovni_podaci!D20,8,1)="S"),VLOOKUP( $B116, T_Aop[], 6, 1),A1)</f>
        <v xml:space="preserve">      2.2 Net losses from revaluation of short-term financial assets (except custumers receivables)</v>
      </c>
      <c r="E116" s="684"/>
      <c r="F116" s="684"/>
      <c r="G116" s="684"/>
      <c r="H116" s="685"/>
      <c r="I116" s="59">
        <f>VLOOKUP( $B116, T_Aop[], 4, 1)</f>
        <v>296</v>
      </c>
      <c r="J116" s="456"/>
      <c r="K116" s="456"/>
      <c r="L116" s="457"/>
      <c r="N116" s="44"/>
      <c r="P116" s="184" t="s">
        <v>313</v>
      </c>
    </row>
    <row r="117" spans="2:16" ht="22.5" customHeight="1" x14ac:dyDescent="0.3">
      <c r="B117" s="15">
        <v>235</v>
      </c>
      <c r="C117" s="62" t="str">
        <f>IF(AND([0]!Godina=2022,MID(Osnovni_podaci!D20,3,1)="H",Osnovni_podaci!L24=3,Osnovni_podaci!G24=0,MID(Osnovni_podaci!D20,3,1)="H",MID(Osnovni_podaci!D20,8,1)="S"),VLOOKUP( $B117, T_Aop[], 5, 1),A1)</f>
        <v>587, 687 Net amount</v>
      </c>
      <c r="D117" s="686" t="str">
        <f>IF(AND([0]!Godina=2022,MID(Osnovni_podaci!D20,3,1)="H",Osnovni_podaci!L24=3,Osnovni_podaci!G24=0,MID(Osnovni_podaci!D20,3,1)="H",MID(Osnovni_podaci!D20,8,1)="S"),VLOOKUP( $B117, T_Aop[], 6, 1),A1)</f>
        <v xml:space="preserve">      2.3 Net losses from revaluation of customers receivables</v>
      </c>
      <c r="E117" s="687"/>
      <c r="F117" s="687"/>
      <c r="G117" s="687"/>
      <c r="H117" s="688"/>
      <c r="I117" s="63">
        <f>VLOOKUP( $B117, T_Aop[], 4, 1)</f>
        <v>297</v>
      </c>
      <c r="J117" s="454"/>
      <c r="K117" s="454"/>
      <c r="L117" s="455"/>
      <c r="N117" s="44"/>
      <c r="P117" s="184" t="s">
        <v>313</v>
      </c>
    </row>
    <row r="118" spans="2:16" ht="22.5" customHeight="1" x14ac:dyDescent="0.3">
      <c r="B118" s="15">
        <v>236</v>
      </c>
      <c r="C118" s="58" t="str">
        <f>IF(AND([0]!Godina=2022,MID(Osnovni_podaci!D20,3,1)="H",Osnovni_podaci!L24=3,Osnovni_podaci!G24=0,MID(Osnovni_podaci!D20,3,1)="H",MID(Osnovni_podaci!D20,8,1)="S"),VLOOKUP( $B118, T_Aop[], 5, 1),A1)</f>
        <v>part 589, part 689 Net amount</v>
      </c>
      <c r="D118" s="683" t="str">
        <f>IF(AND([0]!Godina=2022,MID(Osnovni_podaci!D20,3,1)="H",Osnovni_podaci!L24=3,Osnovni_podaci!G24=0,MID(Osnovni_podaci!D20,3,1)="H",MID(Osnovni_podaci!D20,8,1)="S"),VLOOKUP( $B118, T_Aop[], 6, 1),A1)</f>
        <v xml:space="preserve">      2.4. Net losses from revaluation of other financial assets </v>
      </c>
      <c r="E118" s="684"/>
      <c r="F118" s="684"/>
      <c r="G118" s="684"/>
      <c r="H118" s="685"/>
      <c r="I118" s="59">
        <f>VLOOKUP( $B118, T_Aop[], 4, 1)</f>
        <v>298</v>
      </c>
      <c r="J118" s="456"/>
      <c r="K118" s="456"/>
      <c r="L118" s="457"/>
      <c r="N118" s="44"/>
      <c r="P118" s="183"/>
    </row>
    <row r="119" spans="2:16" ht="15" customHeight="1" x14ac:dyDescent="0.3">
      <c r="B119" s="15">
        <v>237</v>
      </c>
      <c r="C119" s="66">
        <f>IF(AND([0]!Godina=2022,MID(Osnovni_podaci!D20,3,1)="H",Osnovni_podaci!L24=3,Osnovni_podaci!G24=0,MID(Osnovni_podaci!D20,3,1)="H",MID(Osnovni_podaci!D20,8,1)="S"),VLOOKUP( $B119, T_Aop[], 5, 1),A1)</f>
        <v>0</v>
      </c>
      <c r="D119" s="692" t="str">
        <f>IF(AND([0]!Godina=2022,MID(Osnovni_podaci!D20,3,1)="H",Osnovni_podaci!L24=3,Osnovni_podaci!G24=0,MID(Osnovni_podaci!D20,3,1)="H",MID(Osnovni_podaci!D20,8,1)="S"),VLOOKUP( $B119, T_Aop[], 6, 1),A1)</f>
        <v xml:space="preserve">  K. GAIN FROM THE REVALUATION OF PROPERTY VALUE (273 - 286)</v>
      </c>
      <c r="E119" s="693"/>
      <c r="F119" s="693"/>
      <c r="G119" s="693"/>
      <c r="H119" s="694"/>
      <c r="I119" s="179">
        <f>VLOOKUP( $B119, T_Aop[], 4, 1)</f>
        <v>299</v>
      </c>
      <c r="J119" s="454"/>
      <c r="K119" s="67">
        <f>IF(AND([0]!Godina=2022,MID(Osnovni_podaci!D20,3,1)="H",Osnovni_podaci!L24=3,Osnovni_podaci!G24=0,MID(Osnovni_podaci!D20,3,1)="H",MID(Osnovni_podaci!D20,8,1)="S"),IF( SUBTOTAL( 9, K94:K105) - SUBTOTAL( 9, K106:K118) &lt;= 0, 0, ABS( SUBTOTAL( 9, K94:K105) - SUBTOTAL( 9, K106:K118)) ),A1)</f>
        <v>0</v>
      </c>
      <c r="L119" s="68">
        <f>IF(AND([0]!Godina=2022,MID(Osnovni_podaci!D20,3,1)="H",Osnovni_podaci!L24=3,Osnovni_podaci!G24=0,MID(Osnovni_podaci!D20,3,1)="H",MID(Osnovni_podaci!D20,8,1)="S"),IF( SUBTOTAL( 9, L94:L105) - SUBTOTAL( 9, L106:L118) &lt;= 0, 0, ABS( SUBTOTAL( 9, L94:L105) - SUBTOTAL( 9, L106:L118)) ),A1)</f>
        <v>0</v>
      </c>
      <c r="N119" s="44"/>
      <c r="P119" s="183"/>
    </row>
    <row r="120" spans="2:16" ht="15" customHeight="1" x14ac:dyDescent="0.3">
      <c r="B120" s="15">
        <v>238</v>
      </c>
      <c r="C120" s="58">
        <f>IF(AND([0]!Godina=2022,MID(Osnovni_podaci!D20,3,1)="H",Osnovni_podaci!L24=3,Osnovni_podaci!G24=0,MID(Osnovni_podaci!D20,3,1)="H",MID(Osnovni_podaci!D20,8,1)="S"),VLOOKUP( $B120, T_Aop[], 5, 1),A1)</f>
        <v>0</v>
      </c>
      <c r="D120" s="689" t="str">
        <f>IF(AND([0]!Godina=2022,MID(Osnovni_podaci!D20,3,1)="H",Osnovni_podaci!L24=3,Osnovni_podaci!G24=0,MID(Osnovni_podaci!D20,3,1)="H",MID(Osnovni_podaci!D20,8,1)="S"),VLOOKUP( $B120, T_Aop[], 6, 1),A1)</f>
        <v xml:space="preserve">  L. LOSS FROM THE REVALUATION OF PROPERTY VALUE (286 - 273)</v>
      </c>
      <c r="E120" s="690"/>
      <c r="F120" s="690"/>
      <c r="G120" s="690"/>
      <c r="H120" s="691"/>
      <c r="I120" s="178">
        <f>VLOOKUP( $B120, T_Aop[], 4, 1)</f>
        <v>300</v>
      </c>
      <c r="J120" s="456"/>
      <c r="K120" s="254">
        <f>IF(AND([0]!Godina=2022,MID(Osnovni_podaci!D20,3,1)="H",Osnovni_podaci!L24=3,Osnovni_podaci!G24=0,MID(Osnovni_podaci!D20,3,1)="H",MID(Osnovni_podaci!D20,8,1)="S"),IF( SUBTOTAL( 9, K94:K105) - SUBTOTAL( 9, K106:K118) &gt;= 0, 0, ABS( SUBTOTAL( 9, K94:K105) - SUBTOTAL( 9, K106:K118)) ),A1)</f>
        <v>0</v>
      </c>
      <c r="L120" s="493">
        <f>IF(AND([0]!Godina=2022,MID(Osnovni_podaci!D20,3,1)="H",Osnovni_podaci!L24=3,Osnovni_podaci!G24=0,MID(Osnovni_podaci!D20,3,1)="H",MID(Osnovni_podaci!D20,8,1)="S"),IF( SUBTOTAL( 9, L94:L105) - SUBTOTAL( 9, L106:L118) &gt;= 0, 0, ABS( SUBTOTAL( 9, L94:L105) - SUBTOTAL( 9, L106:L118)) ),A1)</f>
        <v>0</v>
      </c>
      <c r="N120" s="44"/>
      <c r="P120" s="183"/>
    </row>
    <row r="121" spans="2:16" ht="22.5" customHeight="1" x14ac:dyDescent="0.3">
      <c r="B121" s="15">
        <v>239</v>
      </c>
      <c r="C121" s="66" t="str">
        <f>IF(AND([0]!Godina=2022,MID(Osnovni_podaci!D20,3,1)="H",Osnovni_podaci!L24=3,Osnovni_podaci!G24=0,MID(Osnovni_podaci!D20,3,1)="H",MID(Osnovni_podaci!D20,8,1)="S"),VLOOKUP( $B121, T_Aop[], 5, 1),A1)</f>
        <v>690 and 691</v>
      </c>
      <c r="D121" s="692" t="str">
        <f>IF(AND([0]!Godina=2022,MID(Osnovni_podaci!D20,3,1)="H",Osnovni_podaci!L24=3,Osnovni_podaci!G24=0,MID(Osnovni_podaci!D20,3,1)="H",MID(Osnovni_podaci!D20,8,1)="S"),VLOOKUP( $B121, T_Aop[], 6, 1),A1)</f>
        <v xml:space="preserve">  M. Incomes from changes in accounting policies and corrections from previous year</v>
      </c>
      <c r="E121" s="693"/>
      <c r="F121" s="693"/>
      <c r="G121" s="693"/>
      <c r="H121" s="694"/>
      <c r="I121" s="179">
        <f>VLOOKUP( $B121, T_Aop[], 4, 1)</f>
        <v>301</v>
      </c>
      <c r="J121" s="454"/>
      <c r="K121" s="161"/>
      <c r="L121" s="162"/>
      <c r="N121" s="44"/>
      <c r="P121" s="183"/>
    </row>
    <row r="122" spans="2:16" ht="13.5" customHeight="1" x14ac:dyDescent="0.3">
      <c r="B122" s="15">
        <v>240</v>
      </c>
      <c r="C122" s="58" t="str">
        <f>IF(AND([0]!Godina=2022,MID(Osnovni_podaci!D20,3,1)="H",Osnovni_podaci!L24=3,Osnovni_podaci!G24=0,MID(Osnovni_podaci!D20,3,1)="H",MID(Osnovni_podaci!D20,8,1)="S"),VLOOKUP( $B122, T_Aop[], 5, 1),A1)</f>
        <v>590 and 591</v>
      </c>
      <c r="D122" s="689" t="str">
        <f>IF(AND([0]!Godina=2022,MID(Osnovni_podaci!D20,3,1)="H",Osnovni_podaci!L24=3,Osnovni_podaci!G24=0,MID(Osnovni_podaci!D20,3,1)="H",MID(Osnovni_podaci!D20,8,1)="S"),VLOOKUP( $B122, T_Aop[], 6, 1),A1)</f>
        <v xml:space="preserve">  N. Losses from changes in accounting policies and corrections from previous year</v>
      </c>
      <c r="E122" s="690"/>
      <c r="F122" s="690"/>
      <c r="G122" s="690"/>
      <c r="H122" s="691"/>
      <c r="I122" s="178">
        <f>VLOOKUP( $B122, T_Aop[], 4, 1)</f>
        <v>302</v>
      </c>
      <c r="J122" s="456"/>
      <c r="K122" s="81"/>
      <c r="L122" s="82"/>
      <c r="N122" s="44"/>
      <c r="P122" s="183"/>
    </row>
    <row r="123" spans="2:16" ht="13.5" customHeight="1" x14ac:dyDescent="0.3">
      <c r="B123" s="15">
        <v>241</v>
      </c>
      <c r="C123" s="66">
        <f>IF(AND([0]!Godina=2022,MID(Osnovni_podaci!D20,3,1)="H",Osnovni_podaci!L24=3,Osnovni_podaci!G24=0,MID(Osnovni_podaci!D20,3,1)="H",MID(Osnovni_podaci!D20,8,1)="S"),VLOOKUP( $B123, T_Aop[], 5, 1),A1)</f>
        <v>0</v>
      </c>
      <c r="D123" s="686" t="str">
        <f>IF(AND([0]!Godina=2022,MID(Osnovni_podaci!D20,3,1)="H",Osnovni_podaci!L24=3,Osnovni_podaci!G24=0,MID(Osnovni_podaci!D20,3,1)="H",MID(Osnovni_podaci!D20,8,1)="S"),VLOOKUP( $B123, T_Aop[], 6, 1),A1)</f>
        <v xml:space="preserve">Share in profit of associated company and joint venture using equity method </v>
      </c>
      <c r="E123" s="687"/>
      <c r="F123" s="687"/>
      <c r="G123" s="687"/>
      <c r="H123" s="688"/>
      <c r="I123" s="63">
        <f>VLOOKUP( $B123, T_Aop[], 4, 1)</f>
        <v>303</v>
      </c>
      <c r="J123" s="454"/>
      <c r="K123" s="462"/>
      <c r="L123" s="463"/>
      <c r="N123" s="44"/>
      <c r="P123" s="183"/>
    </row>
    <row r="124" spans="2:16" ht="13.5" customHeight="1" x14ac:dyDescent="0.3">
      <c r="B124" s="15">
        <v>242</v>
      </c>
      <c r="C124" s="58">
        <f>IF(AND([0]!Godina=2022,MID(Osnovni_podaci!D20,3,1)="H",Osnovni_podaci!L24=3,Osnovni_podaci!G24=0,MID(Osnovni_podaci!D20,3,1)="H",MID(Osnovni_podaci!D20,8,1)="S"),VLOOKUP( $B124, T_Aop[], 5, 1),A1)</f>
        <v>0</v>
      </c>
      <c r="D124" s="683" t="str">
        <f>IF(AND([0]!Godina=2022,MID(Osnovni_podaci!D20,3,1)="H",Osnovni_podaci!L24=3,Osnovni_podaci!G24=0,MID(Osnovni_podaci!D20,3,1)="H",MID(Osnovni_podaci!D20,8,1)="S"),VLOOKUP( $B124, T_Aop[], 6, 1),A1)</f>
        <v xml:space="preserve">Share in loss of associated company and joint venture using equity method </v>
      </c>
      <c r="E124" s="684"/>
      <c r="F124" s="684"/>
      <c r="G124" s="684"/>
      <c r="H124" s="685"/>
      <c r="I124" s="59">
        <f>VLOOKUP( $B124, T_Aop[], 4, 1)</f>
        <v>304</v>
      </c>
      <c r="J124" s="456"/>
      <c r="K124" s="456"/>
      <c r="L124" s="457"/>
      <c r="N124" s="44"/>
      <c r="P124" s="183"/>
    </row>
    <row r="125" spans="2:16" ht="15" customHeight="1" x14ac:dyDescent="0.3">
      <c r="B125" s="15">
        <v>243</v>
      </c>
      <c r="C125" s="464">
        <f>IF(AND([0]!Godina=2022,MID(Osnovni_podaci!D20,3,1)="H",Osnovni_podaci!L24=3,Osnovni_podaci!G24=0,MID(Osnovni_podaci!D20,3,1)="H",MID(Osnovni_podaci!D20,8,1)="S"),VLOOKUP( $B125, T_Aop[], 5, 1),A1)</f>
        <v>0</v>
      </c>
      <c r="D125" s="692" t="str">
        <f>IF(AND([0]!Godina=2022,MID(Osnovni_podaci!D20,3,1)="H",Osnovni_podaci!L24=3,Osnovni_podaci!G24=0,MID(Osnovni_podaci!D20,3,1)="H",MID(Osnovni_podaci!D20,8,1)="S"),VLOOKUP( $B125, T_Aop[], 6, 1),A1)</f>
        <v xml:space="preserve">  TOTAL INCOME (201 + 239 + 251 + 273 + 301+ 303)</v>
      </c>
      <c r="E125" s="693"/>
      <c r="F125" s="693"/>
      <c r="G125" s="693"/>
      <c r="H125" s="694"/>
      <c r="I125" s="179">
        <f>VLOOKUP( $B125, T_Aop[], 4, 1)</f>
        <v>305</v>
      </c>
      <c r="J125" s="454"/>
      <c r="K125" s="67">
        <f>IF(AND([0]!Godina=2022,MID(Osnovni_podaci!D20,3,1)="H",Osnovni_podaci!L24=3,Osnovni_podaci!G24=0,MID(Osnovni_podaci!D20,3,1)="H",MID(Osnovni_podaci!D20,8,1)="S"),SUBTOTAL(9, K22:K33, K34, K36, K38, K59:K63, K71:K80, K93:K105,K121, K123)-SUBTOTAL(9,K35,K37),A1)</f>
        <v>4054317</v>
      </c>
      <c r="L125" s="68">
        <f>IF(AND([0]!Godina=2022,MID(Osnovni_podaci!D20,3,1)="H",Osnovni_podaci!L24=3,Osnovni_podaci!G24=0,MID(Osnovni_podaci!D20,3,1)="H",MID(Osnovni_podaci!D20,8,1)="S"),SUBTOTAL(9, L22:L33, L34, L36, L38, L59:L63, L71:L80, L93:L105,L121, L123)-SUBTOTAL(9,L35,L37),A1)</f>
        <v>4636902</v>
      </c>
      <c r="N125" s="44"/>
      <c r="P125" s="183"/>
    </row>
    <row r="126" spans="2:16" ht="17.25" customHeight="1" x14ac:dyDescent="0.3">
      <c r="B126" s="15">
        <v>244</v>
      </c>
      <c r="C126" s="58">
        <f>IF(AND([0]!Godina=2022,MID(Osnovni_podaci!D20,3,1)="H",Osnovni_podaci!L24=3,Osnovni_podaci!G24=0,MID(Osnovni_podaci!D20,3,1)="H",MID(Osnovni_podaci!D20,8,1)="S"),VLOOKUP( $B126, T_Aop[], 5, 1),A1)</f>
        <v>0</v>
      </c>
      <c r="D126" s="689" t="str">
        <f>IF(AND([0]!Godina=2022,MID(Osnovni_podaci!D20,3,1)="H",Osnovni_podaci!L24=3,Osnovni_podaci!G24=0,MID(Osnovni_podaci!D20,3,1)="H",MID(Osnovni_podaci!D20,8,1)="S"),VLOOKUP( $B126, T_Aop[], 6, 1),A1)</f>
        <v xml:space="preserve">  TOTAL EXPENSES (219 + 244 + 261 + 286 + 302+ 304)</v>
      </c>
      <c r="E126" s="690"/>
      <c r="F126" s="690"/>
      <c r="G126" s="690"/>
      <c r="H126" s="691"/>
      <c r="I126" s="178">
        <f>VLOOKUP( $B126, T_Aop[], 4, 1)</f>
        <v>306</v>
      </c>
      <c r="J126" s="456"/>
      <c r="K126" s="254">
        <f>IF(AND([0]!Godina=2022,MID(Osnovni_podaci!D20,3,1)="H",Osnovni_podaci!L24=3,Osnovni_podaci!G24=0,MID(Osnovni_podaci!D20,3,1)="H",MID(Osnovni_podaci!D20,8,1)="S"),SUBTOTAL(9, K39:K56, K64:K68, K81:K90, K106:K118,K122,K124),A1)</f>
        <v>3599369</v>
      </c>
      <c r="L126" s="493">
        <f>IF(AND([0]!Godina=2022,MID(Osnovni_podaci!D20,3,1)="H",Osnovni_podaci!L24=3,Osnovni_podaci!G24=0,MID(Osnovni_podaci!D20,3,1)="H",MID(Osnovni_podaci!D20,8,1)="S"),SUBTOTAL(9, L39:L56, L64:L68, L81:L90, L106:L118,L122,L124),A1)</f>
        <v>3806756</v>
      </c>
      <c r="N126" s="44"/>
      <c r="P126" s="183"/>
    </row>
    <row r="127" spans="2:16" ht="23.25" customHeight="1" x14ac:dyDescent="0.3">
      <c r="B127" s="15">
        <v>245</v>
      </c>
      <c r="C127" s="66">
        <f>IF(AND([0]!Godina=2022,MID(Osnovni_podaci!D20,3,1)="H",Osnovni_podaci!L24=3,Osnovni_podaci!G24=0,MID(Osnovni_podaci!D20,3,1)="H",MID(Osnovni_podaci!D20,8,1)="S"),VLOOKUP( $B127, T_Aop[], 5, 1),A1)</f>
        <v>0</v>
      </c>
      <c r="D127" s="692" t="str">
        <f>IF(AND([0]!Godina=2022,MID(Osnovni_podaci!D20,3,1)="H",Osnovni_podaci!L24=3,Osnovni_podaci!G24=0,MID(Osnovni_podaci!D20,3,1)="H",MID(Osnovni_podaci!D20,8,1)="S"),VLOOKUP( $B127, T_Aop[], 6, 1),A1)</f>
        <v xml:space="preserve">  O. INCOME AND LOSS BEFORE TAXES 
1. Income before taxes (305-306)</v>
      </c>
      <c r="E127" s="693"/>
      <c r="F127" s="693"/>
      <c r="G127" s="693"/>
      <c r="H127" s="694"/>
      <c r="I127" s="179">
        <f>VLOOKUP( $B127, T_Aop[], 4, 1)</f>
        <v>307</v>
      </c>
      <c r="J127" s="454"/>
      <c r="K127" s="67">
        <f>IF(AND([0]!Godina=2022,MID(Osnovni_podaci!D20,3,1)="H",Osnovni_podaci!L24=3,Osnovni_podaci!G24=0,MID(Osnovni_podaci!D20,3,1)="H",MID(Osnovni_podaci!D20,8,1)="S"),IF( SUBTOTAL(9, K22:K33, K34, K36, K38, K59:K63, K71:K80, K93:K105, K121, K123)- SUBTOTAL(9,K35, K37, K39:K56, K64:K68, K81:K90, K106:K118, K122, K124) &lt;=  0, 0, ABS( SUBTOTAL(9, K22:K33, K34, K36, K38, K59:K63, K71:K80, K93:K105,K121,K123)- SUBTOTAL(9,K35,K37, K39:K56, K64:K68, K81:K90, K106:K118, K122, K124))),A1)</f>
        <v>454948</v>
      </c>
      <c r="L127" s="68">
        <f>IF(AND([0]!Godina=2022,MID(Osnovni_podaci!D20,3,1)="H",Osnovni_podaci!L24=3,Osnovni_podaci!G24=0,MID(Osnovni_podaci!D20,3,1)="H",MID(Osnovni_podaci!D20,8,1)="S"),IF( SUBTOTAL(9, L22:L33, L34, L36, L38, L59:L63, L71:L80, L93:L105, L121, L123)- SUBTOTAL(9,L35, L37, L39:L56, L64:L68, L81:L90, L106:L118, L122, L124) &lt;=  0, 0, ABS( SUBTOTAL(9, L22:L33, L34, L36, L38, L59:L63, L71:L80, L93:L105,L121,L123)- SUBTOTAL(9,L35,L37, L39:L56, L64:L68, L81:L90, L106:L118, L122, L124))),A1)</f>
        <v>830146</v>
      </c>
      <c r="N127" s="44"/>
      <c r="P127" s="183"/>
    </row>
    <row r="128" spans="2:16" ht="17.25" customHeight="1" x14ac:dyDescent="0.3">
      <c r="B128" s="15">
        <v>246</v>
      </c>
      <c r="C128" s="187">
        <f>IF(AND([0]!Godina=2022,MID(Osnovni_podaci!D20,3,1)="H",Osnovni_podaci!L24=3,Osnovni_podaci!G24=0,MID(Osnovni_podaci!D20,3,1)="H",MID(Osnovni_podaci!D20,8,1)="S"),VLOOKUP( $B128, T_Aop[], 5, 1),A1)</f>
        <v>0</v>
      </c>
      <c r="D128" s="689" t="str">
        <f>IF(AND([0]!Godina=2022,MID(Osnovni_podaci!D20,3,1)="H",Osnovni_podaci!L24=3,Osnovni_podaci!G24=0,MID(Osnovni_podaci!D20,3,1)="H",MID(Osnovni_podaci!D20,8,1)="S"),VLOOKUP( $B128, T_Aop[], 6, 1),A1)</f>
        <v xml:space="preserve">  2. Loss before taxes (306-305)</v>
      </c>
      <c r="E128" s="690"/>
      <c r="F128" s="690"/>
      <c r="G128" s="690"/>
      <c r="H128" s="691"/>
      <c r="I128" s="178">
        <f>VLOOKUP( $B128, T_Aop[], 4, 1)</f>
        <v>308</v>
      </c>
      <c r="J128" s="456"/>
      <c r="K128" s="254">
        <f>IF(AND([0]!Godina=2022,MID(Osnovni_podaci!D20,3,1)="H",Osnovni_podaci!L24=3,Osnovni_podaci!G24=0,MID(Osnovni_podaci!D20,3,1)="H",MID(Osnovni_podaci!D20,8,1)="S"),IF(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IF(AND([0]!Godina=2022,MID(Osnovni_podaci!D20,3,1)="H",Osnovni_podaci!L24=3,Osnovni_podaci!G24=0,MID(Osnovni_podaci!D20,3,1)="H",MID(Osnovni_podaci!D20,8,1)="S"),IF(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3">
      <c r="B129" s="15">
        <v>247</v>
      </c>
      <c r="C129" s="464">
        <f>IF(AND([0]!Godina=2022,MID(Osnovni_podaci!D20,3,1)="H",Osnovni_podaci!L24=3,Osnovni_podaci!G24=0,MID(Osnovni_podaci!D20,3,1)="H",MID(Osnovni_podaci!D20,8,1)="S"),VLOOKUP( $B129, T_Aop[], 5, 1),A1)</f>
        <v>721</v>
      </c>
      <c r="D129" s="692" t="str">
        <f>IF(AND([0]!Godina=2022,MID(Osnovni_podaci!D20,3,1)="H",Osnovni_podaci!L24=3,Osnovni_podaci!G24=0,MID(Osnovni_podaci!D20,3,1)="H",MID(Osnovni_podaci!D20,8,1)="S"),VLOOKUP( $B129, T_Aop[], 6, 1),A1)</f>
        <v xml:space="preserve">  P. CURRENT AND DEFERRED INCOME TAX  1.Tax expenses of reporting period</v>
      </c>
      <c r="E129" s="693"/>
      <c r="F129" s="693"/>
      <c r="G129" s="693"/>
      <c r="H129" s="694"/>
      <c r="I129" s="179">
        <f>VLOOKUP( $B129, T_Aop[], 4, 1)</f>
        <v>309</v>
      </c>
      <c r="J129" s="454"/>
      <c r="K129" s="489"/>
      <c r="L129" s="162">
        <v>96981</v>
      </c>
      <c r="N129" s="44"/>
      <c r="P129" s="183"/>
    </row>
    <row r="130" spans="2:16" ht="17.25" customHeight="1" x14ac:dyDescent="0.3">
      <c r="B130" s="15">
        <v>248</v>
      </c>
      <c r="C130" s="187">
        <f>IF(AND([0]!Godina=2022,MID(Osnovni_podaci!D20,3,1)="H",Osnovni_podaci!L24=3,Osnovni_podaci!G24=0,MID(Osnovni_podaci!D20,3,1)="H",MID(Osnovni_podaci!D20,8,1)="S"),VLOOKUP( $B130, T_Aop[], 5, 1),A1)</f>
        <v>0</v>
      </c>
      <c r="D130" s="683" t="str">
        <f>IF(AND([0]!Godina=2022,MID(Osnovni_podaci!D20,3,1)="H",Osnovni_podaci!L24=3,Osnovni_podaci!G24=0,MID(Osnovni_podaci!D20,3,1)="H",MID(Osnovni_podaci!D20,8,1)="S"),VLOOKUP( $B130, T_Aop[], 6, 1),A1)</f>
        <v xml:space="preserve">    2. Deffered tax expense of reporting period (311+312)</v>
      </c>
      <c r="E130" s="684"/>
      <c r="F130" s="684"/>
      <c r="G130" s="684"/>
      <c r="H130" s="685"/>
      <c r="I130" s="59">
        <f>VLOOKUP( $B130, T_Aop[], 4, 1)</f>
        <v>310</v>
      </c>
      <c r="J130" s="456"/>
      <c r="K130" s="494">
        <f>IF(AND([0]!Godina=2022,MID(Osnovni_podaci!D20,3,1)="H",Osnovni_podaci!L24=3,Osnovni_podaci!G24=0,MID(Osnovni_podaci!D20,3,1)="H",MID(Osnovni_podaci!D20,8,1)="S"),SUBTOTAL( 9, K131:K132),A1)</f>
        <v>0</v>
      </c>
      <c r="L130" s="459">
        <f>IF(AND([0]!Godina=2022,MID(Osnovni_podaci!D20,3,1)="H",Osnovni_podaci!L24=3,Osnovni_podaci!G24=0,MID(Osnovni_podaci!D20,3,1)="H",MID(Osnovni_podaci!D20,8,1)="S"),SUBTOTAL( 9, L131:L132),A1)</f>
        <v>0</v>
      </c>
      <c r="N130" s="44"/>
      <c r="P130" s="183"/>
    </row>
    <row r="131" spans="2:16" ht="17.25" customHeight="1" x14ac:dyDescent="0.3">
      <c r="B131" s="15">
        <v>249</v>
      </c>
      <c r="C131" s="66">
        <f>IF(AND([0]!Godina=2022,MID(Osnovni_podaci!D20,3,1)="H",Osnovni_podaci!L24=3,Osnovni_podaci!G24=0,MID(Osnovni_podaci!D20,3,1)="H",MID(Osnovni_podaci!D20,8,1)="S"),VLOOKUP( $B131, T_Aop[], 5, 1),A1)</f>
        <v>722</v>
      </c>
      <c r="D131" s="686" t="str">
        <f>IF(AND([0]!Godina=2022,MID(Osnovni_podaci!D20,3,1)="H",Osnovni_podaci!L24=3,Osnovni_podaci!G24=0,MID(Osnovni_podaci!D20,3,1)="H",MID(Osnovni_podaci!D20,8,1)="S"),VLOOKUP( $B131, T_Aop[], 6, 1),A1)</f>
        <v xml:space="preserve">      2.1.   Effect of reduction of deffered tax assets</v>
      </c>
      <c r="E131" s="687"/>
      <c r="F131" s="687"/>
      <c r="G131" s="687"/>
      <c r="H131" s="688"/>
      <c r="I131" s="63">
        <f>VLOOKUP( $B131, T_Aop[], 4, 1)</f>
        <v>311</v>
      </c>
      <c r="J131" s="454"/>
      <c r="K131" s="490"/>
      <c r="L131" s="455"/>
      <c r="N131" s="44"/>
      <c r="P131" s="183"/>
    </row>
    <row r="132" spans="2:16" ht="17.25" customHeight="1" x14ac:dyDescent="0.3">
      <c r="B132" s="15">
        <v>250</v>
      </c>
      <c r="C132" s="58">
        <f>IF(AND([0]!Godina=2022,MID(Osnovni_podaci!D20,3,1)="H",Osnovni_podaci!L24=3,Osnovni_podaci!G24=0,MID(Osnovni_podaci!D20,3,1)="H",MID(Osnovni_podaci!D20,8,1)="S"),VLOOKUP( $B132, T_Aop[], 5, 1),A1)</f>
        <v>724</v>
      </c>
      <c r="D132" s="683" t="str">
        <f>IF(AND([0]!Godina=2022,MID(Osnovni_podaci!D20,3,1)="H",Osnovni_podaci!L24=3,Osnovni_podaci!G24=0,MID(Osnovni_podaci!D20,3,1)="H",MID(Osnovni_podaci!D20,8,1)="S"),VLOOKUP( $B132, T_Aop[], 6, 1),A1)</f>
        <v xml:space="preserve">      2.2.   Effect of increase of deffered tax assets</v>
      </c>
      <c r="E132" s="684"/>
      <c r="F132" s="684"/>
      <c r="G132" s="684"/>
      <c r="H132" s="685"/>
      <c r="I132" s="59">
        <f>VLOOKUP( $B132, T_Aop[], 4, 1)</f>
        <v>312</v>
      </c>
      <c r="J132" s="456"/>
      <c r="K132" s="495"/>
      <c r="L132" s="156"/>
      <c r="N132" s="44"/>
      <c r="P132" s="183"/>
    </row>
    <row r="133" spans="2:16" ht="17.25" customHeight="1" x14ac:dyDescent="0.3">
      <c r="B133" s="15">
        <v>251</v>
      </c>
      <c r="C133" s="66">
        <f>IF(AND([0]!Godina=2022,MID(Osnovni_podaci!D20,3,1)="H",Osnovni_podaci!L24=3,Osnovni_podaci!G24=0,MID(Osnovni_podaci!D20,3,1)="H",MID(Osnovni_podaci!D20,8,1)="S"),VLOOKUP( $B133, T_Aop[], 5, 1),A1)</f>
        <v>0</v>
      </c>
      <c r="D133" s="686" t="str">
        <f>IF(AND([0]!Godina=2022,MID(Osnovni_podaci!D20,3,1)="H",Osnovni_podaci!L24=3,Osnovni_podaci!G24=0,MID(Osnovni_podaci!D20,3,1)="H",MID(Osnovni_podaci!D20,8,1)="S"),VLOOKUP( $B133, T_Aop[], 6, 1),A1)</f>
        <v xml:space="preserve">    3. Deffered income tax of reporting period (314+315)</v>
      </c>
      <c r="E133" s="687"/>
      <c r="F133" s="687"/>
      <c r="G133" s="687"/>
      <c r="H133" s="688"/>
      <c r="I133" s="63">
        <f>VLOOKUP( $B133, T_Aop[], 4, 1)</f>
        <v>313</v>
      </c>
      <c r="J133" s="454"/>
      <c r="K133" s="496">
        <f>IF(AND([0]!Godina=2022,MID(Osnovni_podaci!D20,3,1)="H",Osnovni_podaci!L24=3,Osnovni_podaci!G24=0,MID(Osnovni_podaci!D20,3,1)="H",MID(Osnovni_podaci!D20,8,1)="S"),SUBTOTAL( 9, K134:K135),A1)</f>
        <v>0</v>
      </c>
      <c r="L133" s="461">
        <f>IF(AND([0]!Godina=2022,MID(Osnovni_podaci!D20,3,1)="H",Osnovni_podaci!L24=3,Osnovni_podaci!G24=0,MID(Osnovni_podaci!D20,3,1)="H",MID(Osnovni_podaci!D20,8,1)="S"),SUBTOTAL( 9, L134:L135),A1)</f>
        <v>0</v>
      </c>
      <c r="N133" s="44"/>
      <c r="P133" s="183"/>
    </row>
    <row r="134" spans="2:16" ht="13.5" customHeight="1" x14ac:dyDescent="0.3">
      <c r="B134" s="15">
        <v>252</v>
      </c>
      <c r="C134" s="58">
        <f>IF(AND([0]!Godina=2022,MID(Osnovni_podaci!D20,3,1)="H",Osnovni_podaci!L24=3,Osnovni_podaci!G24=0,MID(Osnovni_podaci!D20,3,1)="H",MID(Osnovni_podaci!D20,8,1)="S"),VLOOKUP( $B134, T_Aop[], 5, 1),A1)</f>
        <v>723</v>
      </c>
      <c r="D134" s="683" t="str">
        <f>IF(AND([0]!Godina=2022,MID(Osnovni_podaci!D20,3,1)="H",Osnovni_podaci!L24=3,Osnovni_podaci!G24=0,MID(Osnovni_podaci!D20,3,1)="H",MID(Osnovni_podaci!D20,8,1)="S"),VLOOKUP( $B134, T_Aop[], 6, 1),A1)</f>
        <v xml:space="preserve">      3.1. Effect of increase of deffered tax assets</v>
      </c>
      <c r="E134" s="684"/>
      <c r="F134" s="684"/>
      <c r="G134" s="684"/>
      <c r="H134" s="685"/>
      <c r="I134" s="59">
        <f>VLOOKUP( $B134, T_Aop[], 4, 1)</f>
        <v>314</v>
      </c>
      <c r="J134" s="456"/>
      <c r="K134" s="425"/>
      <c r="L134" s="156"/>
      <c r="N134" s="44"/>
      <c r="P134" s="183"/>
    </row>
    <row r="135" spans="2:16" ht="13.5" customHeight="1" x14ac:dyDescent="0.3">
      <c r="B135" s="15">
        <v>253</v>
      </c>
      <c r="C135" s="66">
        <f>IF(AND([0]!Godina=2022,MID(Osnovni_podaci!D20,3,1)="H",Osnovni_podaci!L24=3,Osnovni_podaci!G24=0,MID(Osnovni_podaci!D20,3,1)="H",MID(Osnovni_podaci!D20,8,1)="S"),VLOOKUP( $B135, T_Aop[], 5, 1),A1)</f>
        <v>725</v>
      </c>
      <c r="D135" s="686" t="str">
        <f>IF(AND([0]!Godina=2022,MID(Osnovni_podaci!D20,3,1)="H",Osnovni_podaci!L24=3,Osnovni_podaci!G24=0,MID(Osnovni_podaci!D20,3,1)="H",MID(Osnovni_podaci!D20,8,1)="S"),VLOOKUP( $B135, T_Aop[], 6, 1),A1)</f>
        <v xml:space="preserve">      3.2. Effect of reduction of deffered tax liabilities</v>
      </c>
      <c r="E135" s="687"/>
      <c r="F135" s="687"/>
      <c r="G135" s="687"/>
      <c r="H135" s="688"/>
      <c r="I135" s="63">
        <f>VLOOKUP( $B135, T_Aop[], 4, 1)</f>
        <v>315</v>
      </c>
      <c r="J135" s="454"/>
      <c r="K135" s="454"/>
      <c r="L135" s="455"/>
      <c r="N135" s="44"/>
      <c r="P135" s="183"/>
    </row>
    <row r="136" spans="2:16" ht="24" customHeight="1" x14ac:dyDescent="0.3">
      <c r="B136" s="15">
        <v>254</v>
      </c>
      <c r="C136" s="58">
        <f>IF(AND([0]!Godina=2022,MID(Osnovni_podaci!D20,3,1)="H",Osnovni_podaci!L24=3,Osnovni_podaci!G24=0,MID(Osnovni_podaci!D20,3,1)="H",MID(Osnovni_podaci!D20,8,1)="S"),VLOOKUP( $B136, T_Aop[], 5, 1),A1)</f>
        <v>0</v>
      </c>
      <c r="D136" s="689" t="str">
        <f>IF(AND([0]!Godina=2022,MID(Osnovni_podaci!D20,3,1)="H",Osnovni_podaci!L24=3,Osnovni_podaci!G24=0,MID(Osnovni_podaci!D20,3,1)="H",MID(Osnovni_podaci!D20,8,1)="S"),VLOOKUP( $B136, T_Aop[], 6, 1),A1)</f>
        <v xml:space="preserve">  Q. NET INCOME AND NET LOSS OF THE PERIOD 1. Net income of the current year (307-309-310+313) and 307&gt;0 or (313-308-309-310) and 308&gt;0</v>
      </c>
      <c r="E136" s="690"/>
      <c r="F136" s="690"/>
      <c r="G136" s="690"/>
      <c r="H136" s="691"/>
      <c r="I136" s="178">
        <f>VLOOKUP( $B136, T_Aop[], 4, 1)</f>
        <v>316</v>
      </c>
      <c r="J136" s="456">
        <v>18</v>
      </c>
      <c r="K136" s="254">
        <f>IF(AND([0]!Godina=2022,MID(Osnovni_podaci!D20,3,1)="H",Osnovni_podaci!L24=3,Osnovni_podaci!G24=0,MID(Osnovni_podaci!D20,3,1)="H",MID(Osnovni_podaci!D20,8,1)="S"),IF(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454948</v>
      </c>
      <c r="L136" s="403">
        <f>IF(AND([0]!Godina=2022,MID(Osnovni_podaci!D20,3,1)="H",Osnovni_podaci!L24=3,Osnovni_podaci!G24=0,MID(Osnovni_podaci!D20,3,1)="H",MID(Osnovni_podaci!D20,8,1)="S"),IF(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733165</v>
      </c>
      <c r="N136" s="44"/>
      <c r="P136" s="183"/>
    </row>
    <row r="137" spans="2:16" ht="15" customHeight="1" x14ac:dyDescent="0.3">
      <c r="B137" s="15">
        <v>255</v>
      </c>
      <c r="C137" s="66" t="str">
        <f>IF(AND([0]!Godina=2022,MID(Osnovni_podaci!D20,3,1)="H",Osnovni_podaci!L24=3,Osnovni_podaci!G24=0,MID(Osnovni_podaci!D20,3,1)="H",MID(Osnovni_podaci!D20,8,1)="S"),VLOOKUP( $B137, T_Aop[], 5, 1),A1)</f>
        <v xml:space="preserve"> </v>
      </c>
      <c r="D137" s="692" t="str">
        <f>IF(AND([0]!Godina=2022,MID(Osnovni_podaci!D20,3,1)="H",Osnovni_podaci!L24=3,Osnovni_podaci!G24=0,MID(Osnovni_podaci!D20,3,1)="H",MID(Osnovni_podaci!D20,8,1)="S"),VLOOKUP( $B137, T_Aop[], 6, 1),A1)</f>
        <v>2. Net loss of the current year (308+309+310-313)&gt;0 and 308&gt;0  or (309+310-307-313)&gt;0 and 307&gt;0</v>
      </c>
      <c r="E137" s="693"/>
      <c r="F137" s="693"/>
      <c r="G137" s="693"/>
      <c r="H137" s="694"/>
      <c r="I137" s="179">
        <f>VLOOKUP( $B137, T_Aop[], 4, 1)</f>
        <v>317</v>
      </c>
      <c r="J137" s="454"/>
      <c r="K137" s="67">
        <f>IF(AND([0]!Godina=2022,MID(Osnovni_podaci!D20,3,1)="H",Osnovni_podaci!L24=3,Osnovni_podaci!G24=0,MID(Osnovni_podaci!D20,3,1)="H",MID(Osnovni_podaci!D20,8,1)="S"),IF(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IF(AND([0]!Godina=2022,MID(Osnovni_podaci!D20,3,1)="H",Osnovni_podaci!L24=3,Osnovni_podaci!G24=0,MID(Osnovni_podaci!D20,3,1)="H",MID(Osnovni_podaci!D20,8,1)="S"),IF(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3">
      <c r="B138" s="15">
        <v>256</v>
      </c>
      <c r="C138" s="58">
        <f>IF(AND([0]!Godina=2022,MID(Osnovni_podaci!D20,3,1)="H",Osnovni_podaci!L24=3,Osnovni_podaci!G24=0,MID(Osnovni_podaci!D20,3,1)="H",MID(Osnovni_podaci!D20,8,1)="S"),VLOOKUP( $B138, T_Aop[], 5, 1),A1)</f>
        <v>726</v>
      </c>
      <c r="D138" s="683" t="str">
        <f>IF(AND([0]!Godina=2022,MID(Osnovni_podaci!D20,3,1)="H",Osnovni_podaci!L24=3,Osnovni_podaci!G24=0,MID(Osnovni_podaci!D20,3,1)="H",MID(Osnovni_podaci!D20,8,1)="S"),VLOOKUP( $B138, T_Aop[], 6, 1),A1)</f>
        <v xml:space="preserve">  R. Interim dividends and other forms of net income distribution during reporting period</v>
      </c>
      <c r="E138" s="684"/>
      <c r="F138" s="684"/>
      <c r="G138" s="684"/>
      <c r="H138" s="685"/>
      <c r="I138" s="59">
        <f>VLOOKUP( $B138, T_Aop[], 4, 1)</f>
        <v>318</v>
      </c>
      <c r="J138" s="456"/>
      <c r="K138" s="456"/>
      <c r="L138" s="457"/>
      <c r="N138" s="44"/>
      <c r="P138" s="183"/>
    </row>
    <row r="139" spans="2:16" ht="15" customHeight="1" x14ac:dyDescent="0.3">
      <c r="B139" s="15">
        <v>257</v>
      </c>
      <c r="C139" s="66">
        <f>IF(AND([0]!Godina=2022,MID(Osnovni_podaci!D20,3,1)="H",Osnovni_podaci!L24=3,Osnovni_podaci!G24=0,MID(Osnovni_podaci!D20,3,1)="H",MID(Osnovni_podaci!D20,8,1)="S"),VLOOKUP( $B139, T_Aop[], 5, 1),A1)</f>
        <v>0</v>
      </c>
      <c r="D139" s="686" t="str">
        <f>IF(AND([0]!Godina=2022,MID(Osnovni_podaci!D20,3,1)="H",Osnovni_podaci!L24=3,Osnovni_podaci!G24=0,MID(Osnovni_podaci!D20,3,1)="H",MID(Osnovni_podaci!D20,8,1)="S"),VLOOKUP( $B139, T_Aop[], 6, 1),A1)</f>
        <v>Share of net income/loss which belongs to majority owners</v>
      </c>
      <c r="E139" s="687"/>
      <c r="F139" s="687"/>
      <c r="G139" s="687"/>
      <c r="H139" s="688"/>
      <c r="I139" s="63">
        <f>VLOOKUP( $B139, T_Aop[], 4, 1)</f>
        <v>319</v>
      </c>
      <c r="J139" s="454"/>
      <c r="K139" s="462"/>
      <c r="L139" s="463"/>
      <c r="N139" s="44"/>
      <c r="P139" s="183"/>
    </row>
    <row r="140" spans="2:16" ht="15" customHeight="1" x14ac:dyDescent="0.3">
      <c r="B140" s="15">
        <v>258</v>
      </c>
      <c r="C140" s="58">
        <f>IF(AND([0]!Godina=2022,MID(Osnovni_podaci!D20,3,1)="H",Osnovni_podaci!L24=3,Osnovni_podaci!G24=0,MID(Osnovni_podaci!D20,3,1)="H",MID(Osnovni_podaci!D20,8,1)="S"),VLOOKUP( $B140, T_Aop[], 5, 1),A1)</f>
        <v>0</v>
      </c>
      <c r="D140" s="683" t="str">
        <f>IF(AND([0]!Godina=2022,MID(Osnovni_podaci!D20,3,1)="H",Osnovni_podaci!L24=3,Osnovni_podaci!G24=0,MID(Osnovni_podaci!D20,3,1)="H",MID(Osnovni_podaci!D20,8,1)="S"),VLOOKUP( $B140, T_Aop[], 6, 1),A1)</f>
        <v>Share of net income/loss which belongs to minority owners</v>
      </c>
      <c r="E140" s="684"/>
      <c r="F140" s="684"/>
      <c r="G140" s="684"/>
      <c r="H140" s="685"/>
      <c r="I140" s="59">
        <f>VLOOKUP( $B140, T_Aop[], 4, 1)</f>
        <v>320</v>
      </c>
      <c r="J140" s="456"/>
      <c r="K140" s="456"/>
      <c r="L140" s="457"/>
      <c r="N140" s="44"/>
      <c r="P140" s="183"/>
    </row>
    <row r="141" spans="2:16" ht="15" customHeight="1" x14ac:dyDescent="0.3">
      <c r="B141" s="15">
        <v>259</v>
      </c>
      <c r="C141" s="66">
        <f>IF(AND([0]!Godina=2022,MID(Osnovni_podaci!D20,3,1)="H",Osnovni_podaci!L24=3,Osnovni_podaci!G24=0,MID(Osnovni_podaci!D20,3,1)="H",MID(Osnovni_podaci!D20,8,1)="S"),VLOOKUP( $B141, T_Aop[], 5, 1),A1)</f>
        <v>0</v>
      </c>
      <c r="D141" s="686" t="str">
        <f>IF(AND([0]!Godina=2022,MID(Osnovni_podaci!D20,3,1)="H",Osnovni_podaci!L24=3,Osnovni_podaci!G24=0,MID(Osnovni_podaci!D20,3,1)="H",MID(Osnovni_podaci!D20,8,1)="S"),VLOOKUP( $B141, T_Aop[], 6, 1),A1)</f>
        <v>Basic earnings per share</v>
      </c>
      <c r="E141" s="687"/>
      <c r="F141" s="687"/>
      <c r="G141" s="687"/>
      <c r="H141" s="688"/>
      <c r="I141" s="63">
        <f>VLOOKUP( $B141, T_Aop[], 4, 1)</f>
        <v>321</v>
      </c>
      <c r="J141" s="454"/>
      <c r="K141" s="486">
        <v>0.38619999999999999</v>
      </c>
      <c r="L141" s="487">
        <v>0.62239999999999995</v>
      </c>
      <c r="N141" s="44"/>
      <c r="P141" s="183"/>
    </row>
    <row r="142" spans="2:16" ht="15" customHeight="1" x14ac:dyDescent="0.3">
      <c r="B142" s="15">
        <v>260</v>
      </c>
      <c r="C142" s="444">
        <f>IF(AND([0]!Godina=2022,MID(Osnovni_podaci!D20,3,1)="H",Osnovni_podaci!L24=3,Osnovni_podaci!G24=0,MID(Osnovni_podaci!D20,3,1)="H",MID(Osnovni_podaci!D20,8,1)="S"),VLOOKUP( $B142, T_Aop[], 5, 1),A1)</f>
        <v>0</v>
      </c>
      <c r="D142" s="695" t="str">
        <f>IF(AND([0]!Godina=2022,MID(Osnovni_podaci!D20,3,1)="H",Osnovni_podaci!L24=3,Osnovni_podaci!G24=0,MID(Osnovni_podaci!D20,3,1)="H",MID(Osnovni_podaci!D20,8,1)="S"),VLOOKUP( $B142, T_Aop[], 6, 1),A1)</f>
        <v>Diluted earnings per share</v>
      </c>
      <c r="E142" s="696"/>
      <c r="F142" s="696"/>
      <c r="G142" s="696"/>
      <c r="H142" s="697"/>
      <c r="I142" s="59">
        <f>VLOOKUP( $B142, T_Aop[], 4, 1)</f>
        <v>322</v>
      </c>
      <c r="J142" s="456"/>
      <c r="K142" s="528"/>
      <c r="L142" s="529"/>
      <c r="N142" s="44"/>
      <c r="P142" s="183"/>
    </row>
    <row r="143" spans="2:16" ht="15" customHeight="1" x14ac:dyDescent="0.3">
      <c r="B143" s="15">
        <v>261</v>
      </c>
      <c r="C143" s="446">
        <f>IF(AND([0]!Godina=2022,MID(Osnovni_podaci!D20,3,1)="H",Osnovni_podaci!L24=3,Osnovni_podaci!G24=0,MID(Osnovni_podaci!D20,3,1)="H",MID(Osnovni_podaci!D20,8,1)="S"),VLOOKUP( $B143, T_Aop[], 5, 1),A1)</f>
        <v>0</v>
      </c>
      <c r="D143" s="698" t="str">
        <f>IF(AND([0]!Godina=2022,MID(Osnovni_podaci!D20,3,1)="H",Osnovni_podaci!L24=3,Osnovni_podaci!G24=0,MID(Osnovni_podaci!D20,3,1)="H",MID(Osnovni_podaci!D20,8,1)="S"),VLOOKUP( $B143, T_Aop[], 6, 1),A1)</f>
        <v>Average number of employees based on the working hour</v>
      </c>
      <c r="E143" s="699"/>
      <c r="F143" s="699"/>
      <c r="G143" s="699"/>
      <c r="H143" s="700"/>
      <c r="I143" s="63">
        <f>VLOOKUP( $B143, T_Aop[], 4, 1)</f>
        <v>323</v>
      </c>
      <c r="J143" s="454"/>
      <c r="K143" s="482">
        <v>15</v>
      </c>
      <c r="L143" s="483">
        <v>14</v>
      </c>
      <c r="N143" s="44"/>
      <c r="P143" s="183"/>
    </row>
    <row r="144" spans="2:16" ht="15" customHeight="1" x14ac:dyDescent="0.3">
      <c r="B144" s="15">
        <v>262</v>
      </c>
      <c r="C144" s="448">
        <f>IF(AND([0]!Godina=2022,MID(Osnovni_podaci!D20,3,1)="H",Osnovni_podaci!L24=3,Osnovni_podaci!G24=0,MID(Osnovni_podaci!D20,3,1)="H",MID(Osnovni_podaci!D20,8,1)="S"),VLOOKUP( $B144, T_Aop[], 5, 1),A1)</f>
        <v>0</v>
      </c>
      <c r="D144" s="676" t="str">
        <f>IF(AND([0]!Godina=2022,MID(Osnovni_podaci!D20,3,1)="H",Osnovni_podaci!L24=3,Osnovni_podaci!G24=0,MID(Osnovni_podaci!D20,3,1)="H",MID(Osnovni_podaci!D20,8,1)="S"),VLOOKUP( $B144, T_Aop[], 6, 1),A1)</f>
        <v xml:space="preserve">Average number of employees according to month ending balance </v>
      </c>
      <c r="E144" s="677"/>
      <c r="F144" s="677"/>
      <c r="G144" s="677"/>
      <c r="H144" s="678"/>
      <c r="I144" s="186">
        <f>VLOOKUP( $B144, T_Aop[], 4, 1)</f>
        <v>324</v>
      </c>
      <c r="J144" s="497"/>
      <c r="K144" s="484">
        <v>15</v>
      </c>
      <c r="L144" s="485">
        <v>14</v>
      </c>
      <c r="N144" s="44"/>
      <c r="P144" s="183"/>
    </row>
    <row r="145" spans="2:12" ht="15" customHeight="1" x14ac:dyDescent="0.3">
      <c r="B145" s="15"/>
      <c r="C145" s="37"/>
      <c r="D145" s="40"/>
      <c r="E145" s="40"/>
      <c r="F145" s="40"/>
      <c r="G145" s="40"/>
      <c r="H145" s="40"/>
      <c r="I145" s="233"/>
    </row>
    <row r="146" spans="2:12" ht="15" customHeight="1" x14ac:dyDescent="0.3">
      <c r="B146" s="15"/>
      <c r="C146" s="180" t="str">
        <f>Podnozje_U</f>
        <v>In</v>
      </c>
      <c r="D146" s="419" t="str">
        <f>Podatak_U</f>
        <v>Kakmužu</v>
      </c>
      <c r="E146"/>
      <c r="F146" s="56" t="str">
        <f>Podnozje_Lice_sa_licencom</f>
        <v>Authorized Accountant:</v>
      </c>
      <c r="G146" s="8" t="str">
        <f>Podatak_Lice_sa_licencom</f>
        <v>Žarko Tripunović</v>
      </c>
      <c r="I146" s="37" t="str">
        <f>Podnozje_MP</f>
        <v>(Stamp)</v>
      </c>
    </row>
    <row r="147" spans="2:12" ht="15" customHeight="1" x14ac:dyDescent="0.3">
      <c r="B147" s="15"/>
      <c r="C147" s="28"/>
      <c r="D147" s="127"/>
      <c r="E147" t="s">
        <v>786</v>
      </c>
      <c r="F147" s="599"/>
      <c r="G147" s="599"/>
      <c r="I147" s="78"/>
      <c r="J147" s="598" t="str">
        <f>Podnozje_Direktor</f>
        <v>CEO:</v>
      </c>
      <c r="K147" s="598"/>
      <c r="L147" s="598"/>
    </row>
    <row r="148" spans="2:12" ht="15" customHeight="1" x14ac:dyDescent="0.3">
      <c r="B148" s="15"/>
      <c r="C148" s="180" t="str">
        <f>Podnozje_Dana</f>
        <v>Date:</v>
      </c>
      <c r="D148" s="418" t="str">
        <f>Podatak_Dana</f>
        <v>21.02.2022.</v>
      </c>
      <c r="E148"/>
      <c r="F148" s="40" t="str">
        <f>Podnozje_Broj_licence</f>
        <v>Licence No.:</v>
      </c>
      <c r="G148" t="str">
        <f>Podatak_Broj_Licence</f>
        <v>SR-1138/23</v>
      </c>
      <c r="J148" s="9"/>
      <c r="K148" s="703" t="str">
        <f>Podatak_Direktor</f>
        <v>Mladen Ristić</v>
      </c>
      <c r="L148" s="703"/>
    </row>
    <row r="149" spans="2:12" ht="12.75" hidden="1" customHeight="1" x14ac:dyDescent="0.3">
      <c r="B149" s="15"/>
      <c r="D149" s="9"/>
      <c r="E149" s="40"/>
      <c r="G149" s="39"/>
      <c r="H149"/>
    </row>
    <row r="150" spans="2:12" ht="12.75" customHeight="1" x14ac:dyDescent="0.3">
      <c r="B150" s="15"/>
      <c r="C150" s="37"/>
      <c r="D150" s="40"/>
      <c r="E150" s="40"/>
      <c r="F150" s="40"/>
      <c r="G150" s="40"/>
      <c r="I150" s="9"/>
      <c r="J150" s="37"/>
      <c r="K150" s="37"/>
    </row>
    <row r="151" spans="2:12" ht="12.75" hidden="1" customHeight="1" x14ac:dyDescent="0.3">
      <c r="H151" s="40"/>
      <c r="I151" s="45"/>
    </row>
    <row r="152" spans="2:12" ht="12.75" customHeight="1" x14ac:dyDescent="0.3">
      <c r="G152" s="702"/>
      <c r="H152" s="702"/>
      <c r="I152" s="233"/>
      <c r="K152" s="262"/>
      <c r="L152" s="262"/>
    </row>
    <row r="153" spans="2:12" ht="27.75" customHeight="1" x14ac:dyDescent="0.3"/>
    <row r="161" x14ac:dyDescent="0.3"/>
  </sheetData>
  <sheetProtection algorithmName="SHA-512" hashValue="dDC4lsQnsHXZYZmUd2OnFlPsvW2xFpKFui6Z63r5/2rwqY1lnX4Kkk/JDLPcToC95n9LRT1QYAAVySVxBHw//Q==" saltValue="/10j4AaB+bB3zUCxwxE3F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7620</xdr:colOff>
                    <xdr:row>0</xdr:row>
                    <xdr:rowOff>7620</xdr:rowOff>
                  </from>
                  <to>
                    <xdr:col>16384</xdr:col>
                    <xdr:colOff>0</xdr:colOff>
                    <xdr:row>4</xdr:row>
                    <xdr:rowOff>60960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34" activePane="bottomRight" state="frozen"/>
      <selection activeCell="S33" sqref="S33"/>
      <selection pane="topRight" activeCell="S33" sqref="S33"/>
      <selection pane="bottomLeft" activeCell="S33" sqref="S33"/>
      <selection pane="bottomRight" activeCell="C13" sqref="C13:F13"/>
    </sheetView>
  </sheetViews>
  <sheetFormatPr defaultColWidth="0" defaultRowHeight="13.8" zeroHeight="1" x14ac:dyDescent="0.3"/>
  <cols>
    <col min="1" max="1" width="5.5546875" style="8" customWidth="1"/>
    <col min="2" max="2" width="0.33203125" style="8" hidden="1" customWidth="1"/>
    <col min="3" max="3" width="12.44140625" style="8" customWidth="1"/>
    <col min="4" max="8" width="15.88671875" style="8" customWidth="1"/>
    <col min="9" max="9" width="7.109375" style="8" customWidth="1"/>
    <col min="10" max="10" width="14.33203125" style="8" customWidth="1"/>
    <col min="11" max="12" width="15.5546875" style="8" customWidth="1"/>
    <col min="13" max="13" width="0.44140625" style="8" customWidth="1"/>
    <col min="14" max="14" width="5.6640625" style="8" hidden="1" customWidth="1"/>
    <col min="15" max="15" width="11.44140625" style="8" hidden="1" customWidth="1"/>
    <col min="16" max="16383" width="0" style="8" hidden="1"/>
    <col min="16384" max="16384" width="9" style="8" hidden="1" customWidth="1"/>
  </cols>
  <sheetData>
    <row r="1" spans="2:12" ht="12.75" customHeight="1" x14ac:dyDescent="0.3">
      <c r="C1" s="18"/>
      <c r="D1" s="18"/>
      <c r="E1" s="18"/>
      <c r="F1" s="18"/>
      <c r="G1" s="18"/>
      <c r="H1" s="18"/>
      <c r="I1" s="18"/>
      <c r="J1" s="18"/>
      <c r="K1" s="18"/>
    </row>
    <row r="2" spans="2:12" ht="12.75" customHeight="1" x14ac:dyDescent="0.3">
      <c r="C2" s="18"/>
      <c r="D2" s="18"/>
      <c r="E2" s="18"/>
      <c r="F2" s="18"/>
      <c r="G2" s="18"/>
      <c r="H2" s="18"/>
      <c r="I2" s="18"/>
      <c r="J2" s="18"/>
      <c r="K2" s="18"/>
    </row>
    <row r="3" spans="2:12" ht="12.75" customHeight="1" x14ac:dyDescent="0.3">
      <c r="C3" s="18"/>
      <c r="D3" s="18"/>
      <c r="E3" s="18"/>
      <c r="F3" s="18"/>
      <c r="G3" s="18"/>
      <c r="H3" s="18"/>
      <c r="I3" s="18"/>
      <c r="J3" s="18"/>
      <c r="K3" s="18"/>
    </row>
    <row r="4" spans="2:12" ht="12.75" customHeight="1" x14ac:dyDescent="0.3">
      <c r="C4" s="138"/>
      <c r="D4" s="138"/>
      <c r="E4" s="138"/>
      <c r="F4" s="138"/>
      <c r="G4" s="138"/>
      <c r="H4" s="138"/>
      <c r="I4" s="138"/>
      <c r="J4" s="138"/>
      <c r="K4" s="138"/>
    </row>
    <row r="5" spans="2:12" ht="12.75" customHeight="1" x14ac:dyDescent="0.3">
      <c r="B5" s="15"/>
      <c r="C5" s="644" t="str">
        <f>Zaglavlje_Naziv_preduzeca</f>
        <v>Company Name:</v>
      </c>
      <c r="D5" s="644"/>
      <c r="E5" s="644"/>
      <c r="L5" s="392" t="str">
        <f>Podatak_MB</f>
        <v>01755633</v>
      </c>
    </row>
    <row r="6" spans="2:12" ht="12.75" customHeight="1" x14ac:dyDescent="0.3">
      <c r="B6" s="15"/>
      <c r="C6" s="644"/>
      <c r="D6" s="644"/>
      <c r="E6" s="644"/>
      <c r="F6" s="9"/>
      <c r="L6" s="421" t="str">
        <f>Zaglavlje_MB</f>
        <v>ID Number</v>
      </c>
    </row>
    <row r="7" spans="2:12" ht="12.75" customHeight="1" x14ac:dyDescent="0.3">
      <c r="B7" s="15"/>
      <c r="C7" s="733" t="str">
        <f>Podatak_Naziv_preduzeca</f>
        <v>TEHNOGAS-KAKMUŽ AD PETROVO</v>
      </c>
      <c r="D7" s="733"/>
      <c r="E7" s="733"/>
      <c r="F7" s="733"/>
      <c r="L7" s="392" t="str">
        <f>Podatak_Sifra_djelatnosti</f>
        <v>20.11</v>
      </c>
    </row>
    <row r="8" spans="2:12" ht="12.75" customHeight="1" x14ac:dyDescent="0.3">
      <c r="B8" s="15"/>
      <c r="C8" s="125" t="str">
        <f>Zaglavlje_Sjediste</f>
        <v>Registered Office:</v>
      </c>
      <c r="D8" s="735" t="str">
        <f>Podatak_Sjediste</f>
        <v>PETROVO</v>
      </c>
      <c r="E8" s="735"/>
      <c r="F8" s="735"/>
      <c r="L8" s="421" t="str">
        <f>Zaglavlje_Sifra_djelatnosti</f>
        <v>Code of Industry</v>
      </c>
    </row>
    <row r="9" spans="2:12" ht="12.75" customHeight="1" x14ac:dyDescent="0.3">
      <c r="B9" s="15"/>
      <c r="C9" s="655" t="str">
        <f>Zaglavlje_Ziro_racun</f>
        <v>Bank Account Numbers:</v>
      </c>
      <c r="D9" s="655"/>
      <c r="E9" s="655"/>
      <c r="F9" s="244"/>
      <c r="L9" s="392" t="str">
        <f>Podatak_JIB</f>
        <v>4400228130004</v>
      </c>
    </row>
    <row r="10" spans="2:12" ht="12.75" customHeight="1" x14ac:dyDescent="0.3">
      <c r="B10" s="15"/>
      <c r="C10" s="734" t="str">
        <f>Podatak_Ziro_racun_1</f>
        <v>562-005-00000031-60</v>
      </c>
      <c r="D10" s="734"/>
      <c r="E10" s="734"/>
      <c r="F10" s="734"/>
      <c r="K10" s="732" t="str">
        <f>Zaglavlje_JIB</f>
        <v>Tax Number</v>
      </c>
      <c r="L10" s="732"/>
    </row>
    <row r="11" spans="2:12" ht="12.75" customHeight="1" x14ac:dyDescent="0.3">
      <c r="B11" s="15"/>
      <c r="C11" s="734" t="str">
        <f>Podatak_Ziro_racun_2</f>
        <v>551-004-00009751-20</v>
      </c>
      <c r="D11" s="734"/>
      <c r="E11" s="734"/>
      <c r="F11" s="734"/>
    </row>
    <row r="12" spans="2:12" ht="12.75" customHeight="1" x14ac:dyDescent="0.3">
      <c r="B12" s="15"/>
      <c r="C12" s="701" t="str">
        <f>Podatak_Ziro_racun_3</f>
        <v/>
      </c>
      <c r="D12" s="701"/>
      <c r="E12" s="701"/>
      <c r="F12" s="701"/>
    </row>
    <row r="13" spans="2:12" ht="12.75" customHeight="1" x14ac:dyDescent="0.3">
      <c r="B13" s="15"/>
      <c r="C13" s="701" t="str">
        <f>Podatak_Ziro_racun_4</f>
        <v/>
      </c>
      <c r="D13" s="701"/>
      <c r="E13" s="701"/>
      <c r="F13" s="701"/>
      <c r="G13" s="18"/>
      <c r="H13" s="18"/>
      <c r="I13" s="18"/>
      <c r="J13"/>
      <c r="K13"/>
    </row>
    <row r="14" spans="2:12" ht="15.75" customHeight="1" x14ac:dyDescent="0.3">
      <c r="B14" s="15"/>
      <c r="C14" s="669" t="str">
        <f>IF( Id_Konsolidovani, Nazivi_bilansa_Konsolidovani_naziv &amp; LOWER( Nazivi_bilansa_BUb), Nazivi_bilansa_BUb)</f>
        <v>Report</v>
      </c>
      <c r="D14" s="669"/>
      <c r="E14" s="669"/>
      <c r="F14" s="669"/>
      <c r="G14" s="669"/>
      <c r="H14" s="669"/>
      <c r="I14" s="669"/>
      <c r="J14" s="669"/>
      <c r="K14" s="669"/>
      <c r="L14" s="669"/>
    </row>
    <row r="15" spans="2:12" ht="14.4" x14ac:dyDescent="0.3">
      <c r="B15" s="15"/>
      <c r="C15" s="736" t="str">
        <f>Nazivi_bilansa_BUb1</f>
        <v>on other gains and losses of the period</v>
      </c>
      <c r="D15" s="736"/>
      <c r="E15" s="736"/>
      <c r="F15" s="736"/>
      <c r="G15" s="736"/>
      <c r="H15" s="736"/>
      <c r="I15" s="736"/>
      <c r="J15" s="736"/>
      <c r="K15" s="736"/>
      <c r="L15" s="736"/>
    </row>
    <row r="16" spans="2:12" ht="12.75" customHeight="1" x14ac:dyDescent="0.3">
      <c r="B16" s="15"/>
      <c r="C16" s="654" t="str">
        <f>Datumi_Datum_BU</f>
        <v>from 01.01. to 31.12.2022.</v>
      </c>
      <c r="D16" s="654"/>
      <c r="E16" s="654"/>
      <c r="F16" s="654"/>
      <c r="G16" s="654"/>
      <c r="H16" s="654"/>
      <c r="I16" s="654"/>
      <c r="J16" s="654"/>
      <c r="K16" s="654"/>
      <c r="L16" s="654"/>
    </row>
    <row r="17" spans="2:16" ht="12.75" customHeight="1" x14ac:dyDescent="0.3">
      <c r="B17" s="15"/>
      <c r="C17" s="41"/>
      <c r="D17" s="41"/>
      <c r="E17" s="41"/>
      <c r="F17" s="41"/>
      <c r="G17" s="41"/>
      <c r="H17" s="41"/>
      <c r="I17" s="41"/>
      <c r="J17" s="41"/>
      <c r="L17" s="21" t="str">
        <f>Tabele_zaglavlje_Valuta</f>
        <v>- in BAM -</v>
      </c>
    </row>
    <row r="18" spans="2:16" ht="12.75" customHeight="1" x14ac:dyDescent="0.3">
      <c r="B18" s="15"/>
      <c r="C18" s="726" t="str">
        <f>Tabele_zaglavlje_Grupa_racuna</f>
        <v>Group and part of group of accounts</v>
      </c>
      <c r="D18" s="728" t="str">
        <f>Tabele_zaglavlje_Pozicija</f>
        <v>ITEM</v>
      </c>
      <c r="E18" s="728"/>
      <c r="F18" s="728"/>
      <c r="G18" s="728"/>
      <c r="H18" s="728"/>
      <c r="I18" s="737" t="str">
        <f>Tabele_zaglavlje_Oznaka_aop</f>
        <v>AOP</v>
      </c>
      <c r="J18" s="737" t="str">
        <f>Tabele_zaglavlje_Napomena_aop</f>
        <v>Note</v>
      </c>
      <c r="K18" s="681" t="str">
        <f>Tabele_zaglavlje_Iznos</f>
        <v>Amount</v>
      </c>
      <c r="L18" s="739"/>
    </row>
    <row r="19" spans="2:16" ht="25.5" customHeight="1" x14ac:dyDescent="0.3">
      <c r="B19" s="15"/>
      <c r="C19" s="727"/>
      <c r="D19" s="729"/>
      <c r="E19" s="729"/>
      <c r="F19" s="729"/>
      <c r="G19" s="729"/>
      <c r="H19" s="729"/>
      <c r="I19" s="738"/>
      <c r="J19" s="738"/>
      <c r="K19" s="42" t="str">
        <f>Tabele_zaglavlje_Tekuca_godina</f>
        <v>Current Year</v>
      </c>
      <c r="L19" s="43" t="str">
        <f>Tabele_zaglavlje_Prethodna_godina</f>
        <v>Previous Year</v>
      </c>
      <c r="P19" s="134" t="s">
        <v>490</v>
      </c>
    </row>
    <row r="20" spans="2:16" ht="12.75" customHeight="1" x14ac:dyDescent="0.3">
      <c r="B20" s="12" t="s">
        <v>123</v>
      </c>
      <c r="C20" s="69">
        <v>1</v>
      </c>
      <c r="D20" s="730">
        <v>2</v>
      </c>
      <c r="E20" s="730"/>
      <c r="F20" s="730"/>
      <c r="G20" s="730"/>
      <c r="H20" s="730"/>
      <c r="I20" s="70">
        <v>3</v>
      </c>
      <c r="J20" s="70">
        <v>4</v>
      </c>
      <c r="K20" s="70">
        <v>5</v>
      </c>
      <c r="L20" s="409">
        <v>6</v>
      </c>
    </row>
    <row r="21" spans="2:16" ht="12.75" customHeight="1" x14ac:dyDescent="0.3">
      <c r="B21" s="15">
        <v>263</v>
      </c>
      <c r="C21" s="72">
        <f>VLOOKUP( $B21, T_Aop[], 5, 1)</f>
        <v>0</v>
      </c>
      <c r="D21" s="731" t="str">
        <f>VLOOKUP( $B21, T_Aop[], 6, 1)</f>
        <v xml:space="preserve">A. NET INCOME OR NET LOSS OF PERIOD </v>
      </c>
      <c r="E21" s="731"/>
      <c r="F21" s="731"/>
      <c r="G21" s="731"/>
      <c r="H21" s="731"/>
      <c r="I21" s="504">
        <f>VLOOKUP( $B21, T_Aop[], 4, 1)</f>
        <v>400</v>
      </c>
      <c r="J21" s="512"/>
      <c r="K21" s="517">
        <f>'02a'!K136-'02a'!K137</f>
        <v>454948</v>
      </c>
      <c r="L21" s="518">
        <f>'02a'!L136-'02a'!L137</f>
        <v>733165</v>
      </c>
      <c r="P21" s="27"/>
    </row>
    <row r="22" spans="2:16" ht="27" customHeight="1" x14ac:dyDescent="0.3">
      <c r="B22" s="15">
        <v>264</v>
      </c>
      <c r="C22" s="66">
        <f>VLOOKUP( $B22, T_Aop[], 5, 1)</f>
        <v>0</v>
      </c>
      <c r="D22" s="721" t="str">
        <f>VLOOKUP( $B22, T_Aop[], 6, 1)</f>
        <v xml:space="preserve">    1. Items that can be reclassified in the income statement (±402+403±404±405±406±407)</v>
      </c>
      <c r="E22" s="721"/>
      <c r="F22" s="721"/>
      <c r="G22" s="721"/>
      <c r="H22" s="721"/>
      <c r="I22" s="63">
        <f>VLOOKUP( $B22, T_Aop[], 4, 1)</f>
        <v>401</v>
      </c>
      <c r="J22" s="513"/>
      <c r="K22" s="501">
        <f>SUBTOTAL( 9, K23:K26,K28)-SUBTOTAL( 9, K27)</f>
        <v>0</v>
      </c>
      <c r="L22" s="499">
        <f>SUBTOTAL( 9, L23:L26,L28)-SUBTOTAL( 9, L27)</f>
        <v>0</v>
      </c>
      <c r="P22" s="27"/>
    </row>
    <row r="23" spans="2:16" ht="29.25" customHeight="1" x14ac:dyDescent="0.3">
      <c r="B23" s="15">
        <v>265</v>
      </c>
      <c r="C23" s="58" t="str">
        <f>VLOOKUP( $B23, T_Aop[], 5, 1)</f>
        <v>Change  332 i 333</v>
      </c>
      <c r="D23" s="719" t="str">
        <f>VLOOKUP( $B23, T_Aop[], 6, 1)</f>
        <v xml:space="preserve">      1.1.  Increase/(decrease) in the fair value of debt instruments at fair value through other comprehensive income</v>
      </c>
      <c r="E23" s="719"/>
      <c r="F23" s="719"/>
      <c r="G23" s="719"/>
      <c r="H23" s="719"/>
      <c r="I23" s="59">
        <f>VLOOKUP( $B23, T_Aop[], 4, 1)</f>
        <v>402</v>
      </c>
      <c r="J23" s="500"/>
      <c r="K23" s="515"/>
      <c r="L23" s="411"/>
      <c r="P23" s="133" t="s">
        <v>313</v>
      </c>
    </row>
    <row r="24" spans="2:16" ht="27.6" x14ac:dyDescent="0.3">
      <c r="B24" s="15">
        <v>266</v>
      </c>
      <c r="C24" s="66" t="str">
        <f>VLOOKUP( $B24, T_Aop[], 5, 1)</f>
        <v>Change 331</v>
      </c>
      <c r="D24" s="721" t="str">
        <f>VLOOKUP( $B24, T_Aop[], 6, 1)</f>
        <v xml:space="preserve">      1.2. Effects resulting from hedging transactions</v>
      </c>
      <c r="E24" s="721"/>
      <c r="F24" s="721"/>
      <c r="G24" s="721"/>
      <c r="H24" s="721"/>
      <c r="I24" s="63">
        <f>VLOOKUP( $B24, T_Aop[], 4, 1)</f>
        <v>403</v>
      </c>
      <c r="J24" s="513"/>
      <c r="K24" s="165"/>
      <c r="L24" s="166"/>
      <c r="P24"/>
    </row>
    <row r="25" spans="2:16" ht="23.25" customHeight="1" x14ac:dyDescent="0.3">
      <c r="B25" s="15">
        <v>267</v>
      </c>
      <c r="C25" s="58">
        <f>VLOOKUP( $B25, T_Aop[], 5, 1)</f>
        <v>0</v>
      </c>
      <c r="D25" s="719" t="str">
        <f>VLOOKUP( $B25, T_Aop[], 6, 1)</f>
        <v xml:space="preserve">      1.3. Share in the other comprehensive income of the associated company and joint venture using the equity method</v>
      </c>
      <c r="E25" s="719"/>
      <c r="F25" s="719"/>
      <c r="G25" s="719"/>
      <c r="H25" s="719"/>
      <c r="I25" s="59">
        <f>VLOOKUP( $B25, T_Aop[], 4, 1)</f>
        <v>404</v>
      </c>
      <c r="J25" s="500"/>
      <c r="K25" s="163"/>
      <c r="L25" s="164"/>
      <c r="P25"/>
    </row>
    <row r="26" spans="2:16" ht="25.5" customHeight="1" x14ac:dyDescent="0.3">
      <c r="B26" s="15">
        <v>268</v>
      </c>
      <c r="C26" s="66">
        <f>VLOOKUP( $B26, T_Aop[], 5, 1)</f>
        <v>0</v>
      </c>
      <c r="D26" s="721" t="str">
        <f>VLOOKUP( $B26, T_Aop[], 6, 1)</f>
        <v xml:space="preserve">      1.4. Gains or losses arising from translation of financial statements in foreign operations</v>
      </c>
      <c r="E26" s="721"/>
      <c r="F26" s="721"/>
      <c r="G26" s="721"/>
      <c r="H26" s="721"/>
      <c r="I26" s="63">
        <f>VLOOKUP( $B26, T_Aop[], 4, 1)</f>
        <v>405</v>
      </c>
      <c r="J26" s="513"/>
      <c r="K26" s="412"/>
      <c r="L26" s="413"/>
      <c r="P26"/>
    </row>
    <row r="27" spans="2:16" ht="24" customHeight="1" x14ac:dyDescent="0.3">
      <c r="B27" s="15">
        <v>269</v>
      </c>
      <c r="C27" s="58" t="str">
        <f>VLOOKUP( $B27, T_Aop[], 5, 1)</f>
        <v>Change 339, part</v>
      </c>
      <c r="D27" s="719" t="str">
        <f>VLOOKUP( $B27, T_Aop[], 6, 1)</f>
        <v xml:space="preserve">      1.5. Other items that can be reclassified in the income statement</v>
      </c>
      <c r="E27" s="719"/>
      <c r="F27" s="719"/>
      <c r="G27" s="719"/>
      <c r="H27" s="719"/>
      <c r="I27" s="59">
        <f>VLOOKUP( $B27, T_Aop[], 4, 1)</f>
        <v>406</v>
      </c>
      <c r="J27" s="500"/>
      <c r="K27" s="163"/>
      <c r="L27" s="164"/>
      <c r="P27"/>
    </row>
    <row r="28" spans="2:16" ht="12.75" customHeight="1" x14ac:dyDescent="0.3">
      <c r="B28" s="15">
        <v>270</v>
      </c>
      <c r="C28" s="66">
        <f>VLOOKUP( $B28, T_Aop[], 5, 1)</f>
        <v>0</v>
      </c>
      <c r="D28" s="721" t="str">
        <f>VLOOKUP( $B28, T_Aop[], 6, 1)</f>
        <v xml:space="preserve">      1.6. Deferred income tax related to these items</v>
      </c>
      <c r="E28" s="721"/>
      <c r="F28" s="721"/>
      <c r="G28" s="721"/>
      <c r="H28" s="721"/>
      <c r="I28" s="63">
        <f>VLOOKUP( $B28, T_Aop[], 4, 1)</f>
        <v>407</v>
      </c>
      <c r="J28" s="513"/>
      <c r="K28" s="165"/>
      <c r="L28" s="166"/>
      <c r="P28"/>
    </row>
    <row r="29" spans="2:16" ht="20.25" customHeight="1" x14ac:dyDescent="0.3">
      <c r="B29" s="15">
        <v>271</v>
      </c>
      <c r="C29" s="58">
        <f>VLOOKUP( $B29, T_Aop[], 5, 1)</f>
        <v>0</v>
      </c>
      <c r="D29" s="720" t="str">
        <f>VLOOKUP( $B29, T_Aop[], 6, 1)</f>
        <v xml:space="preserve">    2. Items that will not be reclassified in the income statement (± 409± 410 ± 411 ± 412 ± 413 ± 414)</v>
      </c>
      <c r="E29" s="720"/>
      <c r="F29" s="720"/>
      <c r="G29" s="720"/>
      <c r="H29" s="720"/>
      <c r="I29" s="59">
        <f>VLOOKUP( $B29, T_Aop[], 4, 1)</f>
        <v>408</v>
      </c>
      <c r="J29" s="500"/>
      <c r="K29" s="451">
        <f>SUBTOTAL( 9, K30:K35)</f>
        <v>0</v>
      </c>
      <c r="L29" s="452">
        <f>SUBTOTAL( 9, L30:L35)</f>
        <v>0</v>
      </c>
      <c r="P29"/>
    </row>
    <row r="30" spans="2:16" ht="27.6" x14ac:dyDescent="0.3">
      <c r="B30" s="15">
        <v>272</v>
      </c>
      <c r="C30" s="66" t="str">
        <f>VLOOKUP( $B30, T_Aop[], 5, 1)</f>
        <v>Change 330</v>
      </c>
      <c r="D30" s="721" t="str">
        <f>VLOOKUP( $B30, T_Aop[], 6, 1)</f>
        <v xml:space="preserve">      2.1. Revaluation of real estate, plant, equipment and intangible assets</v>
      </c>
      <c r="E30" s="721"/>
      <c r="F30" s="721"/>
      <c r="G30" s="721"/>
      <c r="H30" s="721"/>
      <c r="I30" s="63">
        <f>VLOOKUP( $B30, T_Aop[], 4, 1)</f>
        <v>409</v>
      </c>
      <c r="J30" s="513"/>
      <c r="K30" s="412"/>
      <c r="L30" s="413"/>
      <c r="P30"/>
    </row>
    <row r="31" spans="2:16" ht="27.6" x14ac:dyDescent="0.3">
      <c r="B31" s="15">
        <v>273</v>
      </c>
      <c r="C31" s="58" t="str">
        <f>VLOOKUP( $B31, T_Aop[], 5, 1)</f>
        <v>Change 332 i 333</v>
      </c>
      <c r="D31" s="719" t="str">
        <f>VLOOKUP( $B31, T_Aop[], 6, 1)</f>
        <v xml:space="preserve">      2.2. Increase/(decrease) in the fair value of equity instruments at fair value through other comprehensive income</v>
      </c>
      <c r="E31" s="719"/>
      <c r="F31" s="719"/>
      <c r="G31" s="719"/>
      <c r="H31" s="719"/>
      <c r="I31" s="59">
        <f>VLOOKUP( $B31, T_Aop[], 4, 1)</f>
        <v>410</v>
      </c>
      <c r="J31" s="500"/>
      <c r="K31" s="410"/>
      <c r="L31" s="411"/>
      <c r="P31"/>
    </row>
    <row r="32" spans="2:16" ht="23.25" customHeight="1" x14ac:dyDescent="0.3">
      <c r="B32" s="15">
        <v>274</v>
      </c>
      <c r="C32" s="66" t="str">
        <f>VLOOKUP( $B32, T_Aop[], 5, 1)</f>
        <v>Change 339, part</v>
      </c>
      <c r="D32" s="721" t="str">
        <f>VLOOKUP( $B32, T_Aop[], 6, 1)</f>
        <v xml:space="preserve">      2.3. Actuarial gains/(losses) from defined benefit plans</v>
      </c>
      <c r="E32" s="721"/>
      <c r="F32" s="721"/>
      <c r="G32" s="721"/>
      <c r="H32" s="721"/>
      <c r="I32" s="63">
        <f>VLOOKUP( $B32, T_Aop[], 4, 1)</f>
        <v>411</v>
      </c>
      <c r="J32" s="513"/>
      <c r="K32" s="516"/>
      <c r="L32" s="413"/>
      <c r="P32"/>
    </row>
    <row r="33" spans="2:16" ht="24" customHeight="1" x14ac:dyDescent="0.3">
      <c r="B33" s="15">
        <v>275</v>
      </c>
      <c r="C33" s="58">
        <f>VLOOKUP( $B33, T_Aop[], 5, 1)</f>
        <v>0</v>
      </c>
      <c r="D33" s="719" t="str">
        <f>VLOOKUP( $B33, T_Aop[], 6, 1)</f>
        <v xml:space="preserve">      2.4. Share in the other comprehensive income of the associated company and joint venture using the equity method</v>
      </c>
      <c r="E33" s="719"/>
      <c r="F33" s="719"/>
      <c r="G33" s="719"/>
      <c r="H33" s="719"/>
      <c r="I33" s="59">
        <f>VLOOKUP( $B33, T_Aop[], 4, 1)</f>
        <v>412</v>
      </c>
      <c r="J33" s="500"/>
      <c r="K33" s="410"/>
      <c r="L33" s="411"/>
      <c r="P33"/>
    </row>
    <row r="34" spans="2:16" ht="25.5" customHeight="1" x14ac:dyDescent="0.3">
      <c r="B34" s="15">
        <v>276</v>
      </c>
      <c r="C34" s="66" t="str">
        <f>VLOOKUP( $B34, T_Aop[], 5, 1)</f>
        <v>Change 339, part</v>
      </c>
      <c r="D34" s="721" t="str">
        <f>VLOOKUP( $B34, T_Aop[], 6, 1)</f>
        <v xml:space="preserve">      2.5. Other items that will not be reclassified in the income statement</v>
      </c>
      <c r="E34" s="721"/>
      <c r="F34" s="721"/>
      <c r="G34" s="721"/>
      <c r="H34" s="721"/>
      <c r="I34" s="63">
        <f>VLOOKUP( $B34, T_Aop[], 4, 1)</f>
        <v>413</v>
      </c>
      <c r="J34" s="513"/>
      <c r="K34" s="412"/>
      <c r="L34" s="413"/>
      <c r="P34"/>
    </row>
    <row r="35" spans="2:16" ht="12.75" customHeight="1" x14ac:dyDescent="0.3">
      <c r="B35" s="15">
        <v>277</v>
      </c>
      <c r="C35" s="58">
        <f>VLOOKUP( $B35, T_Aop[], 5, 1)</f>
        <v>0</v>
      </c>
      <c r="D35" s="719" t="str">
        <f>VLOOKUP( $B35, T_Aop[], 6, 1)</f>
        <v xml:space="preserve">      2.6. Deferred income tax related to these items</v>
      </c>
      <c r="E35" s="719"/>
      <c r="F35" s="719"/>
      <c r="G35" s="719"/>
      <c r="H35" s="719"/>
      <c r="I35" s="59">
        <f>VLOOKUP( $B35, T_Aop[], 4, 1)</f>
        <v>414</v>
      </c>
      <c r="J35" s="500"/>
      <c r="K35" s="163"/>
      <c r="L35" s="164"/>
      <c r="P35"/>
    </row>
    <row r="36" spans="2:16" ht="12.75" customHeight="1" x14ac:dyDescent="0.3">
      <c r="B36" s="15">
        <v>278</v>
      </c>
      <c r="C36" s="66">
        <f>VLOOKUP( $B36, T_Aop[], 5, 1)</f>
        <v>0</v>
      </c>
      <c r="D36" s="725" t="str">
        <f>VLOOKUP( $B36, T_Aop[], 6, 1)</f>
        <v xml:space="preserve">  B. OTHER GAINS AND LOSSES OF THE PERIOD (± 401 ± 408)</v>
      </c>
      <c r="E36" s="725"/>
      <c r="F36" s="725"/>
      <c r="G36" s="725"/>
      <c r="H36" s="725"/>
      <c r="I36" s="179">
        <f>VLOOKUP( $B36, T_Aop[], 4, 1)</f>
        <v>415</v>
      </c>
      <c r="J36" s="513"/>
      <c r="K36" s="73">
        <f>SUBTOTAL( 9, K23:K26,K28)-SUBTOTAL( 9, K27)+ SUBTOTAL( 9, K29:K35)</f>
        <v>0</v>
      </c>
      <c r="L36" s="74">
        <f>SUBTOTAL( 9, L23:L26,L28)-SUBTOTAL( 9, L27)+ SUBTOTAL( 9, L29:L35)</f>
        <v>0</v>
      </c>
      <c r="P36"/>
    </row>
    <row r="37" spans="2:16" ht="16.5" customHeight="1" x14ac:dyDescent="0.3">
      <c r="B37" s="15">
        <v>279</v>
      </c>
      <c r="C37" s="58">
        <f>VLOOKUP( $B37, T_Aop[], 5, 1)</f>
        <v>0</v>
      </c>
      <c r="D37" s="724" t="str">
        <f>VLOOKUP( $B37, T_Aop[], 6, 1)</f>
        <v/>
      </c>
      <c r="E37" s="724"/>
      <c r="F37" s="724"/>
      <c r="G37" s="724"/>
      <c r="H37" s="724"/>
      <c r="I37" s="59">
        <f>VLOOKUP( $B37, T_Aop[], 4, 1)</f>
        <v>0</v>
      </c>
      <c r="J37" s="500"/>
      <c r="K37" s="163"/>
      <c r="L37" s="164"/>
      <c r="P37"/>
    </row>
    <row r="38" spans="2:16" ht="16.5" customHeight="1" x14ac:dyDescent="0.3">
      <c r="B38" s="15">
        <v>280</v>
      </c>
      <c r="C38" s="66">
        <f>VLOOKUP( $B38, T_Aop[], 5, 1)</f>
        <v>0</v>
      </c>
      <c r="D38" s="725" t="str">
        <f>VLOOKUP( $B38, T_Aop[], 6, 1)</f>
        <v>C. TOTAL PROFIT / (LOSS) (400± 415)</v>
      </c>
      <c r="E38" s="725"/>
      <c r="F38" s="725"/>
      <c r="G38" s="725"/>
      <c r="H38" s="725"/>
      <c r="I38" s="179">
        <f>VLOOKUP( $B38, T_Aop[], 4, 1)</f>
        <v>416</v>
      </c>
      <c r="J38" s="513"/>
      <c r="K38" s="73">
        <f>SUBTOTAL( 9, K22:K26,K28,K21)-SUBTOTAL( 9, K27)+ SUBTOTAL( 9, K29:K35)</f>
        <v>454948</v>
      </c>
      <c r="L38" s="74">
        <f>SUBTOTAL( 9, L22:L26,L28,L21)-SUBTOTAL( 9, L27)+ SUBTOTAL( 9, L29:L35)</f>
        <v>733165</v>
      </c>
      <c r="P38" s="27"/>
    </row>
    <row r="39" spans="2:16" ht="12" customHeight="1" x14ac:dyDescent="0.3">
      <c r="B39" s="15">
        <v>281</v>
      </c>
      <c r="C39" s="58">
        <f>VLOOKUP( $B39, T_Aop[], 5, 1)</f>
        <v>0</v>
      </c>
      <c r="D39" s="724" t="str">
        <f>VLOOKUP( $B39, T_Aop[], 6, 1)</f>
        <v/>
      </c>
      <c r="E39" s="724"/>
      <c r="F39" s="724"/>
      <c r="G39" s="724"/>
      <c r="H39" s="724"/>
      <c r="I39" s="59">
        <f>VLOOKUP( $B39, T_Aop[], 4, 1)</f>
        <v>0</v>
      </c>
      <c r="J39" s="500"/>
      <c r="K39" s="163"/>
      <c r="L39" s="164"/>
      <c r="P39" s="27"/>
    </row>
    <row r="40" spans="2:16" ht="17.25" customHeight="1" x14ac:dyDescent="0.3">
      <c r="B40" s="15">
        <v>282</v>
      </c>
      <c r="C40" s="66"/>
      <c r="D40" s="721" t="str">
        <f>VLOOKUP( $B40, T_Aop[], 6, 1)</f>
        <v>Share of the total profit/loss which belongs to the majority shareholders</v>
      </c>
      <c r="E40" s="721"/>
      <c r="F40" s="721"/>
      <c r="G40" s="721"/>
      <c r="H40" s="721"/>
      <c r="I40" s="63">
        <f>VLOOKUP( $B40, T_Aop[], 4, 1)</f>
        <v>417</v>
      </c>
      <c r="J40" s="513"/>
      <c r="K40" s="412"/>
      <c r="L40" s="413"/>
      <c r="P40" s="27"/>
    </row>
    <row r="41" spans="2:16" ht="17.25" customHeight="1" x14ac:dyDescent="0.3">
      <c r="B41" s="15">
        <v>283</v>
      </c>
      <c r="C41" s="191">
        <f>VLOOKUP( $B41, T_Aop[], 5, 1)</f>
        <v>0</v>
      </c>
      <c r="D41" s="723" t="str">
        <f>VLOOKUP( $B41, T_Aop[], 6, 1)</f>
        <v>Share of the total profit/loss which belongs to the minority shareholders</v>
      </c>
      <c r="E41" s="723"/>
      <c r="F41" s="723"/>
      <c r="G41" s="723"/>
      <c r="H41" s="723"/>
      <c r="I41" s="186">
        <f>VLOOKUP( $B41, T_Aop[], 4, 1)</f>
        <v>418</v>
      </c>
      <c r="J41" s="514"/>
      <c r="K41" s="507"/>
      <c r="L41" s="508"/>
      <c r="P41" s="27"/>
    </row>
    <row r="42" spans="2:16" ht="12.75" customHeight="1" x14ac:dyDescent="0.3">
      <c r="C42" s="37"/>
      <c r="D42" s="40"/>
      <c r="E42" s="40"/>
      <c r="F42" s="40"/>
      <c r="G42" s="40"/>
      <c r="H42" s="40"/>
      <c r="I42" s="233"/>
      <c r="J42" s="37"/>
      <c r="K42" s="37"/>
    </row>
    <row r="43" spans="2:16" ht="15" customHeight="1" x14ac:dyDescent="0.3">
      <c r="C43" s="180" t="str">
        <f>Podnozje_U</f>
        <v>In</v>
      </c>
      <c r="D43" s="419" t="str">
        <f>Podatak_U</f>
        <v>Kakmužu</v>
      </c>
      <c r="E43"/>
      <c r="F43" s="1" t="str">
        <f>Podnozje_Lice_sa_licencom</f>
        <v>Authorized Accountant:</v>
      </c>
      <c r="G43" s="1" t="str">
        <f>Podatak_Lice_sa_licencom</f>
        <v>Žarko Tripunović</v>
      </c>
      <c r="I43" s="37" t="str">
        <f>Podnozje_MP</f>
        <v>(Stamp)</v>
      </c>
      <c r="K43" s="1" t="str">
        <f>Podnozje_Direktor</f>
        <v>CEO:</v>
      </c>
    </row>
    <row r="44" spans="2:16" ht="17.25" customHeight="1" x14ac:dyDescent="0.3">
      <c r="C44" s="28"/>
      <c r="D44" s="127"/>
      <c r="E44"/>
      <c r="F44" s="39" t="str">
        <f>Podnozje_Broj_licence</f>
        <v>Licence No.:</v>
      </c>
      <c r="G44" s="39" t="str">
        <f>Podatak_Broj_Licence</f>
        <v>SR-1138/23</v>
      </c>
      <c r="H44" s="510"/>
      <c r="I44"/>
      <c r="K44" s="510" t="str">
        <f>Podatak_Direktor</f>
        <v>Mladen Ristić</v>
      </c>
    </row>
    <row r="45" spans="2:16" ht="12.75" customHeight="1" x14ac:dyDescent="0.3">
      <c r="C45" s="180" t="str">
        <f>Podnozje_Dana</f>
        <v>Date:</v>
      </c>
      <c r="D45" s="418" t="str">
        <f>Podatak_Dana</f>
        <v>21.02.2022.</v>
      </c>
      <c r="E45"/>
      <c r="F45" s="722"/>
      <c r="G45" s="722"/>
      <c r="J45" s="526"/>
      <c r="K45" s="420"/>
      <c r="L45" s="527"/>
    </row>
    <row r="46" spans="2:16" ht="12.75" customHeight="1" x14ac:dyDescent="0.3">
      <c r="C46" s="180"/>
      <c r="D46" s="520"/>
      <c r="E46"/>
      <c r="F46" s="84"/>
      <c r="G46" s="84"/>
      <c r="J46" s="526"/>
      <c r="K46" s="526"/>
    </row>
    <row r="47" spans="2:16" ht="12.75" hidden="1" customHeight="1" x14ac:dyDescent="0.3">
      <c r="F47" s="40"/>
      <c r="G47" s="40"/>
      <c r="H47" s="40"/>
      <c r="I47" s="9"/>
      <c r="J47" s="37"/>
      <c r="K47" s="37"/>
    </row>
    <row r="48" spans="2:16" ht="12.75" hidden="1" customHeight="1" x14ac:dyDescent="0.3"/>
    <row r="61" x14ac:dyDescent="0.3"/>
  </sheetData>
  <sheetProtection algorithmName="SHA-512" hashValue="oUymHK6perQBimYzRm2XsBB71m+mXTMIhJpE/tvSAmaiYeqiynuf38Rhpcplgm1HYgAm52SC6cEV0cjd+o5EgA==" saltValue="hu+I/okcVNUxJwM9OPYVCg=="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7620</xdr:colOff>
                    <xdr:row>0</xdr:row>
                    <xdr:rowOff>45720</xdr:rowOff>
                  </from>
                  <to>
                    <xdr:col>13</xdr:col>
                    <xdr:colOff>0</xdr:colOff>
                    <xdr:row>4</xdr:row>
                    <xdr:rowOff>22860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23" activePane="bottomLeft" state="frozen"/>
      <selection activeCell="S33" sqref="S33"/>
      <selection pane="bottomLeft" activeCell="L28" sqref="L28"/>
    </sheetView>
  </sheetViews>
  <sheetFormatPr defaultColWidth="0" defaultRowHeight="13.8" zeroHeight="1" x14ac:dyDescent="0.3"/>
  <cols>
    <col min="1" max="1" width="4.44140625" style="8" customWidth="1"/>
    <col min="2" max="2" width="4.44140625" style="8" hidden="1" customWidth="1"/>
    <col min="3" max="3" width="7.44140625" style="8" customWidth="1"/>
    <col min="4" max="7" width="18" style="8" customWidth="1"/>
    <col min="8" max="8" width="19.5546875" style="8" customWidth="1"/>
    <col min="9" max="9" width="7.109375" style="8" customWidth="1"/>
    <col min="10" max="10" width="14" style="8" customWidth="1"/>
    <col min="11" max="12" width="16.88671875" style="8" customWidth="1"/>
    <col min="13" max="13" width="2.5546875" style="8" customWidth="1"/>
    <col min="14" max="14" width="0.33203125" style="8" customWidth="1"/>
    <col min="15" max="15" width="11.44140625" style="8" hidden="1" customWidth="1"/>
    <col min="16" max="255" width="9.109375" style="8" hidden="1" customWidth="1"/>
    <col min="256" max="16384" width="31.88671875" style="8" hidden="1"/>
  </cols>
  <sheetData>
    <row r="1" spans="3:12" x14ac:dyDescent="0.3">
      <c r="C1" s="18"/>
      <c r="D1" s="18"/>
      <c r="E1" s="18"/>
      <c r="F1" s="18"/>
      <c r="G1" s="18"/>
      <c r="H1" s="18"/>
      <c r="I1" s="18"/>
      <c r="J1" s="18"/>
      <c r="K1" s="18"/>
    </row>
    <row r="2" spans="3:12" x14ac:dyDescent="0.3">
      <c r="C2" s="18"/>
      <c r="D2" s="18"/>
      <c r="E2" s="18"/>
      <c r="F2" s="18"/>
      <c r="G2" s="18"/>
      <c r="H2" s="18"/>
      <c r="I2" s="18"/>
      <c r="J2" s="18"/>
      <c r="K2" s="18"/>
    </row>
    <row r="3" spans="3:12" x14ac:dyDescent="0.3">
      <c r="C3" s="18"/>
      <c r="D3" s="18"/>
      <c r="E3" s="18"/>
      <c r="F3" s="18"/>
      <c r="G3" s="18"/>
      <c r="H3" s="18"/>
      <c r="I3" s="18"/>
      <c r="J3" s="18"/>
      <c r="K3" s="18"/>
    </row>
    <row r="4" spans="3:12" x14ac:dyDescent="0.3">
      <c r="C4" s="18"/>
      <c r="D4" s="18"/>
      <c r="E4" s="18"/>
      <c r="F4" s="18"/>
      <c r="G4" s="18"/>
      <c r="H4" s="18"/>
      <c r="I4" s="18"/>
      <c r="J4" s="18"/>
      <c r="K4" s="18"/>
    </row>
    <row r="5" spans="3:12" ht="12.75" customHeight="1" x14ac:dyDescent="0.3">
      <c r="C5" s="644" t="str">
        <f>Zaglavlje_Naziv_preduzeca</f>
        <v>Company Name:</v>
      </c>
      <c r="D5" s="644"/>
      <c r="E5" s="644"/>
      <c r="K5" s="9"/>
      <c r="L5" s="392" t="str">
        <f>Podatak_MB</f>
        <v>01755633</v>
      </c>
    </row>
    <row r="6" spans="3:12" ht="10.5" customHeight="1" x14ac:dyDescent="0.3">
      <c r="C6" s="644"/>
      <c r="D6" s="644"/>
      <c r="E6" s="644"/>
      <c r="F6" s="9"/>
      <c r="K6" s="9"/>
      <c r="L6" s="421" t="str">
        <f>Zaglavlje_MB</f>
        <v>ID Number</v>
      </c>
    </row>
    <row r="7" spans="3:12" ht="9" customHeight="1" x14ac:dyDescent="0.3">
      <c r="C7" s="749" t="str">
        <f>Podatak_Naziv_preduzeca</f>
        <v>TEHNOGAS-KAKMUŽ AD PETROVO</v>
      </c>
      <c r="D7" s="749"/>
      <c r="E7" s="749"/>
      <c r="F7" s="749"/>
      <c r="K7" s="9"/>
      <c r="L7" s="392" t="str">
        <f>Podatak_Sifra_djelatnosti</f>
        <v>20.11</v>
      </c>
    </row>
    <row r="8" spans="3:12" x14ac:dyDescent="0.3">
      <c r="C8" s="125" t="str">
        <f>Zaglavlje_Sjediste</f>
        <v>Registered Office:</v>
      </c>
      <c r="D8" s="750" t="str">
        <f>Podatak_Sjediste</f>
        <v>PETROVO</v>
      </c>
      <c r="E8" s="750"/>
      <c r="F8" s="750"/>
      <c r="K8" s="9"/>
      <c r="L8" s="421" t="str">
        <f>Zaglavlje_Sifra_djelatnosti</f>
        <v>Code of Industry</v>
      </c>
    </row>
    <row r="9" spans="3:12" ht="12.75" customHeight="1" x14ac:dyDescent="0.3">
      <c r="C9" s="655" t="str">
        <f>Zaglavlje_Ziro_racun</f>
        <v>Bank Account Numbers:</v>
      </c>
      <c r="D9" s="655"/>
      <c r="E9" s="655"/>
      <c r="F9" s="17"/>
      <c r="K9" s="9"/>
      <c r="L9" s="392" t="str">
        <f>Podatak_JIB</f>
        <v>4400228130004</v>
      </c>
    </row>
    <row r="10" spans="3:12" x14ac:dyDescent="0.3">
      <c r="C10" s="734" t="str">
        <f>Podatak_Ziro_racun_1</f>
        <v>562-005-00000031-60</v>
      </c>
      <c r="D10" s="734"/>
      <c r="E10" s="734"/>
      <c r="F10" s="734"/>
      <c r="K10" s="704" t="str">
        <f>Zaglavlje_JIB</f>
        <v>Tax Number</v>
      </c>
      <c r="L10" s="704"/>
    </row>
    <row r="11" spans="3:12" ht="10.5" customHeight="1" x14ac:dyDescent="0.3">
      <c r="C11" s="701" t="str">
        <f>Podatak_Ziro_racun_2</f>
        <v>551-004-00009751-20</v>
      </c>
      <c r="D11" s="701"/>
      <c r="E11" s="701"/>
      <c r="F11" s="701"/>
    </row>
    <row r="12" spans="3:12" ht="10.5" customHeight="1" x14ac:dyDescent="0.3">
      <c r="C12" s="734" t="str">
        <f>Podatak_Ziro_racun_3</f>
        <v/>
      </c>
      <c r="D12" s="734"/>
      <c r="E12" s="734"/>
      <c r="F12" s="734"/>
    </row>
    <row r="13" spans="3:12" ht="9.75" customHeight="1" x14ac:dyDescent="0.3">
      <c r="C13" s="701" t="str">
        <f>Podatak_Ziro_racun_4</f>
        <v/>
      </c>
      <c r="D13" s="701"/>
      <c r="E13" s="701"/>
      <c r="F13" s="701"/>
      <c r="G13" s="18"/>
      <c r="H13" s="18"/>
      <c r="I13" s="18"/>
      <c r="J13"/>
      <c r="K13"/>
    </row>
    <row r="14" spans="3:12" ht="15.6" x14ac:dyDescent="0.3">
      <c r="C14" s="747" t="str">
        <f>IF( Id_Konsolidovani, Nazivi_bilansa_Konsolidovani_naziv &amp; LOWER( Nazivi_bilansa_BTG), Nazivi_bilansa_BTG)</f>
        <v>Cash Flow Statement</v>
      </c>
      <c r="D14" s="747"/>
      <c r="E14" s="747"/>
      <c r="F14" s="747"/>
      <c r="G14" s="747"/>
      <c r="H14" s="747"/>
      <c r="I14" s="747"/>
      <c r="J14" s="747"/>
      <c r="K14" s="747"/>
      <c r="L14" s="747"/>
    </row>
    <row r="15" spans="3:12" x14ac:dyDescent="0.3">
      <c r="C15" s="748" t="str">
        <f>Nazivi_bilansa_BTG1</f>
        <v>(Statement of cash flows)</v>
      </c>
      <c r="D15" s="748"/>
      <c r="E15" s="748"/>
      <c r="F15" s="748"/>
      <c r="G15" s="748"/>
      <c r="H15" s="748"/>
      <c r="I15" s="748"/>
      <c r="J15" s="748"/>
      <c r="K15" s="748"/>
      <c r="L15" s="748"/>
    </row>
    <row r="16" spans="3:12" x14ac:dyDescent="0.3">
      <c r="C16" s="748" t="str">
        <f>Datumi_Datum_BTG</f>
        <v>from 01.01. to 31.12.2022.</v>
      </c>
      <c r="D16" s="748"/>
      <c r="E16" s="748"/>
      <c r="F16" s="748"/>
      <c r="G16" s="748"/>
      <c r="H16" s="748"/>
      <c r="I16" s="748"/>
      <c r="J16" s="748"/>
      <c r="K16" s="748"/>
      <c r="L16" s="748"/>
    </row>
    <row r="17" spans="2:16" ht="11.25" customHeight="1" x14ac:dyDescent="0.3">
      <c r="D17" s="18"/>
      <c r="E17" s="18"/>
      <c r="F17" s="18"/>
      <c r="G17" s="18"/>
      <c r="H17" s="18"/>
      <c r="I17" s="18"/>
      <c r="J17" s="18"/>
      <c r="K17" s="46" t="str">
        <f>Tabele_zaglavlje_Valuta</f>
        <v>- in BAM -</v>
      </c>
    </row>
    <row r="18" spans="2:16" x14ac:dyDescent="0.3">
      <c r="C18" s="726" t="str">
        <f>Tabele_zaglavlje_Redni_broj</f>
        <v>Number</v>
      </c>
      <c r="D18" s="728" t="str">
        <f>Tabele_zaglavlje_Pozicija</f>
        <v>ITEM</v>
      </c>
      <c r="E18" s="728"/>
      <c r="F18" s="728"/>
      <c r="G18" s="728"/>
      <c r="H18" s="728"/>
      <c r="I18" s="737" t="str">
        <f>Tabele_zaglavlje_Oznaka_aop</f>
        <v>AOP</v>
      </c>
      <c r="J18" s="737" t="str">
        <f>Tabele_zaglavlje_Napomena_aop</f>
        <v>Note</v>
      </c>
      <c r="K18" s="681" t="str">
        <f>Tabele_zaglavlje_Iznos</f>
        <v>Amount</v>
      </c>
      <c r="L18" s="682"/>
    </row>
    <row r="19" spans="2:16" ht="27.6" x14ac:dyDescent="0.3">
      <c r="C19" s="727"/>
      <c r="D19" s="729"/>
      <c r="E19" s="729"/>
      <c r="F19" s="729"/>
      <c r="G19" s="729"/>
      <c r="H19" s="729"/>
      <c r="I19" s="738"/>
      <c r="J19" s="738"/>
      <c r="K19" s="42" t="str">
        <f>Tabele_zaglavlje_Tekuca_godina</f>
        <v>Current Year</v>
      </c>
      <c r="L19" s="43" t="str">
        <f>Tabele_zaglavlje_Prethodna_godina</f>
        <v>Previous Year</v>
      </c>
      <c r="P19" s="134" t="s">
        <v>490</v>
      </c>
    </row>
    <row r="20" spans="2:16" x14ac:dyDescent="0.3">
      <c r="B20" s="44" t="s">
        <v>123</v>
      </c>
      <c r="C20" s="69">
        <v>1</v>
      </c>
      <c r="D20" s="730">
        <v>2</v>
      </c>
      <c r="E20" s="730"/>
      <c r="F20" s="730"/>
      <c r="G20" s="730"/>
      <c r="H20" s="730"/>
      <c r="I20" s="70">
        <v>3</v>
      </c>
      <c r="J20" s="70"/>
      <c r="K20" s="465">
        <v>4</v>
      </c>
      <c r="L20" s="466">
        <v>5</v>
      </c>
    </row>
    <row r="21" spans="2:16" ht="24.75" customHeight="1" x14ac:dyDescent="0.3">
      <c r="B21" s="47">
        <v>284</v>
      </c>
      <c r="C21" s="71" t="str">
        <f>VLOOKUP( $B21, T_Aop[], 5, 1)</f>
        <v>A_x000D_
I</v>
      </c>
      <c r="D21" s="741" t="str">
        <f>VLOOKUP( $B21, T_Aop[], 6, 1)</f>
        <v>CASH FLOWS FROM OPERATING ACTIVITIES                                                                                                                                                 
Cash proceeds from operating activities  (502 to 505)</v>
      </c>
      <c r="E21" s="741"/>
      <c r="F21" s="741"/>
      <c r="G21" s="741"/>
      <c r="H21" s="741"/>
      <c r="I21" s="185">
        <f>VLOOKUP( $B21, T_Aop[], 4, 1)</f>
        <v>501</v>
      </c>
      <c r="J21" s="570"/>
      <c r="K21" s="406">
        <f>SUBTOTAL( 9, K22:K25)</f>
        <v>4884041</v>
      </c>
      <c r="L21" s="407">
        <f>SUBTOTAL( 9, L22:L25)</f>
        <v>4591368</v>
      </c>
      <c r="P21" s="27"/>
    </row>
    <row r="22" spans="2:16" ht="12" customHeight="1" x14ac:dyDescent="0.3">
      <c r="B22" s="47">
        <v>285</v>
      </c>
      <c r="C22" s="58" t="str">
        <f>VLOOKUP( $B22, T_Aop[], 5, 1)</f>
        <v>1</v>
      </c>
      <c r="D22" s="719" t="str">
        <f>VLOOKUP( $B22, T_Aop[], 6, 1)</f>
        <v xml:space="preserve">    Proceeds from sale and advances (prepayments) on domestic market</v>
      </c>
      <c r="E22" s="719"/>
      <c r="F22" s="719"/>
      <c r="G22" s="719"/>
      <c r="H22" s="719"/>
      <c r="I22" s="59">
        <f>VLOOKUP( $B22, T_Aop[], 4, 1)</f>
        <v>502</v>
      </c>
      <c r="J22" s="571"/>
      <c r="K22" s="155">
        <v>3952413</v>
      </c>
      <c r="L22" s="156">
        <v>4027299</v>
      </c>
      <c r="P22" s="27"/>
    </row>
    <row r="23" spans="2:16" ht="12" customHeight="1" x14ac:dyDescent="0.3">
      <c r="B23" s="47">
        <v>286</v>
      </c>
      <c r="C23" s="62" t="str">
        <f>VLOOKUP( $B23, T_Aop[], 5, 1)</f>
        <v>2</v>
      </c>
      <c r="D23" s="742" t="str">
        <f>VLOOKUP( $B23, T_Aop[], 6, 1)</f>
        <v xml:space="preserve">    Proceeds from sale and advances (prepayments) on foreign market</v>
      </c>
      <c r="E23" s="742"/>
      <c r="F23" s="742"/>
      <c r="G23" s="742"/>
      <c r="H23" s="742"/>
      <c r="I23" s="75">
        <f>VLOOKUP( $B23, T_Aop[], 4, 1)</f>
        <v>503</v>
      </c>
      <c r="J23" s="572"/>
      <c r="K23" s="157">
        <v>899128</v>
      </c>
      <c r="L23" s="158">
        <v>559753</v>
      </c>
      <c r="P23" s="27"/>
    </row>
    <row r="24" spans="2:16" ht="12" customHeight="1" x14ac:dyDescent="0.3">
      <c r="B24" s="47">
        <v>287</v>
      </c>
      <c r="C24" s="58" t="str">
        <f>VLOOKUP( $B24, T_Aop[], 5, 1)</f>
        <v>3</v>
      </c>
      <c r="D24" s="719" t="str">
        <f>VLOOKUP( $B24, T_Aop[], 6, 1)</f>
        <v xml:space="preserve">    Proceeds from premiums, subventions, grants, etc.</v>
      </c>
      <c r="E24" s="719"/>
      <c r="F24" s="719"/>
      <c r="G24" s="719"/>
      <c r="H24" s="719"/>
      <c r="I24" s="59">
        <f>VLOOKUP( $B24, T_Aop[], 4, 1)</f>
        <v>504</v>
      </c>
      <c r="J24" s="571"/>
      <c r="K24" s="155">
        <v>32500</v>
      </c>
      <c r="L24" s="156">
        <v>3534</v>
      </c>
      <c r="P24" s="27"/>
    </row>
    <row r="25" spans="2:16" ht="12" customHeight="1" x14ac:dyDescent="0.3">
      <c r="B25" s="47">
        <v>288</v>
      </c>
      <c r="C25" s="62" t="str">
        <f>VLOOKUP( $B25, T_Aop[], 5, 1)</f>
        <v>4</v>
      </c>
      <c r="D25" s="742" t="str">
        <f>VLOOKUP( $B25, T_Aop[], 6, 1)</f>
        <v xml:space="preserve">    Other proceeds from operating activities</v>
      </c>
      <c r="E25" s="742"/>
      <c r="F25" s="742"/>
      <c r="G25" s="742"/>
      <c r="H25" s="742"/>
      <c r="I25" s="75">
        <f>VLOOKUP( $B25, T_Aop[], 4, 1)</f>
        <v>505</v>
      </c>
      <c r="J25" s="572"/>
      <c r="K25" s="159"/>
      <c r="L25" s="160">
        <v>782</v>
      </c>
      <c r="P25" s="27"/>
    </row>
    <row r="26" spans="2:16" ht="12" customHeight="1" x14ac:dyDescent="0.3">
      <c r="B26" s="47">
        <v>289</v>
      </c>
      <c r="C26" s="58" t="str">
        <f>VLOOKUP( $B26, T_Aop[], 5, 1)</f>
        <v>II</v>
      </c>
      <c r="D26" s="724" t="str">
        <f>VLOOKUP( $B26, T_Aop[], 6, 1)</f>
        <v xml:space="preserve">    Cash outflows from operating activities (507 to 512)</v>
      </c>
      <c r="E26" s="724"/>
      <c r="F26" s="724"/>
      <c r="G26" s="724"/>
      <c r="H26" s="724"/>
      <c r="I26" s="178">
        <f>VLOOKUP( $B26, T_Aop[], 4, 1)</f>
        <v>506</v>
      </c>
      <c r="J26" s="571"/>
      <c r="K26" s="60">
        <f>SUBTOTAL( 9, K27:K32)</f>
        <v>4800687</v>
      </c>
      <c r="L26" s="61">
        <f>SUBTOTAL( 9, L27:L32)</f>
        <v>3406495</v>
      </c>
      <c r="P26" s="27"/>
    </row>
    <row r="27" spans="2:16" ht="12" customHeight="1" x14ac:dyDescent="0.3">
      <c r="B27" s="47">
        <v>290</v>
      </c>
      <c r="C27" s="62" t="str">
        <f>VLOOKUP( $B27, T_Aop[], 5, 1)</f>
        <v>1</v>
      </c>
      <c r="D27" s="742" t="str">
        <f>VLOOKUP( $B27, T_Aop[], 6, 1)</f>
        <v xml:space="preserve">    Payments to suppliers and given advances (prepayments) on domestic market</v>
      </c>
      <c r="E27" s="742"/>
      <c r="F27" s="742"/>
      <c r="G27" s="742"/>
      <c r="H27" s="742"/>
      <c r="I27" s="75">
        <f>VLOOKUP( $B27, T_Aop[], 4, 1)</f>
        <v>507</v>
      </c>
      <c r="J27" s="572"/>
      <c r="K27" s="157">
        <v>3726862</v>
      </c>
      <c r="L27" s="158">
        <v>2504851</v>
      </c>
      <c r="P27" s="27"/>
    </row>
    <row r="28" spans="2:16" ht="12" customHeight="1" x14ac:dyDescent="0.3">
      <c r="B28" s="47">
        <v>291</v>
      </c>
      <c r="C28" s="58" t="str">
        <f>VLOOKUP( $B28, T_Aop[], 5, 1)</f>
        <v>2</v>
      </c>
      <c r="D28" s="719" t="str">
        <f>VLOOKUP( $B28, T_Aop[], 6, 1)</f>
        <v xml:space="preserve">    Payments to suppliers and given advances (prepayments) on foreign market</v>
      </c>
      <c r="E28" s="719"/>
      <c r="F28" s="719"/>
      <c r="G28" s="719"/>
      <c r="H28" s="719"/>
      <c r="I28" s="59">
        <f>VLOOKUP( $B28, T_Aop[], 4, 1)</f>
        <v>508</v>
      </c>
      <c r="J28" s="571"/>
      <c r="K28" s="155">
        <v>27313</v>
      </c>
      <c r="L28" s="156">
        <v>68240</v>
      </c>
      <c r="P28" s="27"/>
    </row>
    <row r="29" spans="2:16" ht="12" customHeight="1" x14ac:dyDescent="0.3">
      <c r="B29" s="47">
        <v>292</v>
      </c>
      <c r="C29" s="62" t="str">
        <f>VLOOKUP( $B29, T_Aop[], 5, 1)</f>
        <v>3</v>
      </c>
      <c r="D29" s="742" t="str">
        <f>VLOOKUP( $B29, T_Aop[], 6, 1)</f>
        <v xml:space="preserve">    Payment of interests</v>
      </c>
      <c r="E29" s="742"/>
      <c r="F29" s="742"/>
      <c r="G29" s="742"/>
      <c r="H29" s="742"/>
      <c r="I29" s="75">
        <f>VLOOKUP( $B29, T_Aop[], 4, 1)</f>
        <v>509</v>
      </c>
      <c r="J29" s="572"/>
      <c r="K29" s="157">
        <v>22</v>
      </c>
      <c r="L29" s="158">
        <v>15</v>
      </c>
      <c r="P29" s="27"/>
    </row>
    <row r="30" spans="2:16" ht="12" customHeight="1" x14ac:dyDescent="0.3">
      <c r="B30" s="47">
        <v>293</v>
      </c>
      <c r="C30" s="58" t="str">
        <f>VLOOKUP( $B30, T_Aop[], 5, 1)</f>
        <v>4</v>
      </c>
      <c r="D30" s="719" t="str">
        <f>VLOOKUP( $B30, T_Aop[], 6, 1)</f>
        <v xml:space="preserve">    Payments for employee wages, salaries, and other employee benefits</v>
      </c>
      <c r="E30" s="719"/>
      <c r="F30" s="719"/>
      <c r="G30" s="719"/>
      <c r="H30" s="719"/>
      <c r="I30" s="59">
        <f>VLOOKUP( $B30, T_Aop[], 4, 1)</f>
        <v>510</v>
      </c>
      <c r="J30" s="571"/>
      <c r="K30" s="155">
        <v>492352</v>
      </c>
      <c r="L30" s="156">
        <v>442415</v>
      </c>
      <c r="P30" s="27"/>
    </row>
    <row r="31" spans="2:16" ht="12" customHeight="1" x14ac:dyDescent="0.3">
      <c r="B31" s="47">
        <v>294</v>
      </c>
      <c r="C31" s="62" t="str">
        <f>VLOOKUP( $B31, T_Aop[], 5, 1)</f>
        <v>5</v>
      </c>
      <c r="D31" s="742" t="str">
        <f>VLOOKUP( $B31, T_Aop[], 6, 1)</f>
        <v xml:space="preserve">    Payment of income taxes</v>
      </c>
      <c r="E31" s="742"/>
      <c r="F31" s="742"/>
      <c r="G31" s="742"/>
      <c r="H31" s="742"/>
      <c r="I31" s="75">
        <f>VLOOKUP( $B31, T_Aop[], 4, 1)</f>
        <v>511</v>
      </c>
      <c r="J31" s="572"/>
      <c r="K31" s="157">
        <v>106982</v>
      </c>
      <c r="L31" s="158">
        <v>32748</v>
      </c>
      <c r="P31" s="27"/>
    </row>
    <row r="32" spans="2:16" ht="12" customHeight="1" x14ac:dyDescent="0.3">
      <c r="B32" s="47">
        <v>295</v>
      </c>
      <c r="C32" s="58" t="str">
        <f>VLOOKUP( $B32, T_Aop[], 5, 1)</f>
        <v>6</v>
      </c>
      <c r="D32" s="719" t="str">
        <f>VLOOKUP( $B32, T_Aop[], 6, 1)</f>
        <v xml:space="preserve">    Other payments of operating activities</v>
      </c>
      <c r="E32" s="719"/>
      <c r="F32" s="719"/>
      <c r="G32" s="719"/>
      <c r="H32" s="719"/>
      <c r="I32" s="59">
        <f>VLOOKUP( $B32, T_Aop[], 4, 1)</f>
        <v>512</v>
      </c>
      <c r="J32" s="571"/>
      <c r="K32" s="155">
        <v>447156</v>
      </c>
      <c r="L32" s="156">
        <v>358226</v>
      </c>
      <c r="P32" s="27"/>
    </row>
    <row r="33" spans="2:16" x14ac:dyDescent="0.3">
      <c r="B33" s="47">
        <v>296</v>
      </c>
      <c r="C33" s="62" t="str">
        <f>VLOOKUP( $B33, T_Aop[], 5, 1)</f>
        <v>III</v>
      </c>
      <c r="D33" s="743" t="str">
        <f>VLOOKUP( $B33, T_Aop[], 6, 1)</f>
        <v xml:space="preserve">  Net inflow of cash from operating activities (501 - 506)</v>
      </c>
      <c r="E33" s="743"/>
      <c r="F33" s="743"/>
      <c r="G33" s="743"/>
      <c r="H33" s="743"/>
      <c r="I33" s="189">
        <f>VLOOKUP( $B33, T_Aop[], 4, 1)</f>
        <v>513</v>
      </c>
      <c r="J33" s="572"/>
      <c r="K33" s="67">
        <f>IF( SUBTOTAL( 9, K21:K25) - SUBTOTAL( 9, K26:K32) &lt;= 0, 0, ABS( SUBTOTAL( 9, K21:K25) - SUBTOTAL( 9, K26:K32)) )</f>
        <v>83354</v>
      </c>
      <c r="L33" s="68">
        <f>IF( SUBTOTAL( 9, L21:L25) - SUBTOTAL( 9, L26:L32) &lt;= 0, 0, ABS( SUBTOTAL( 9, L21:L25) - SUBTOTAL( 9, L26:L32)) )</f>
        <v>1184873</v>
      </c>
      <c r="P33" s="27"/>
    </row>
    <row r="34" spans="2:16" x14ac:dyDescent="0.3">
      <c r="B34" s="47">
        <v>297</v>
      </c>
      <c r="C34" s="58" t="str">
        <f>VLOOKUP( $B34, T_Aop[], 5, 1)</f>
        <v>IV</v>
      </c>
      <c r="D34" s="724" t="str">
        <f>VLOOKUP( $B34, T_Aop[], 6, 1)</f>
        <v xml:space="preserve">  Net outflow of cash from operating activities (506 - 501)</v>
      </c>
      <c r="E34" s="724"/>
      <c r="F34" s="724"/>
      <c r="G34" s="724"/>
      <c r="H34" s="724"/>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3">
      <c r="B35" s="47">
        <v>298</v>
      </c>
      <c r="C35" s="62" t="str">
        <f>VLOOKUP( $B35, T_Aop[], 5, 1)</f>
        <v>B_x000D_
I</v>
      </c>
      <c r="D35" s="743" t="str">
        <f>VLOOKUP( $B35, T_Aop[], 6, 1)</f>
        <v>CASH FLOWS FROM INVESTING ACTIVITIES  Cash proceeds from investing activities  (516 to 530)</v>
      </c>
      <c r="E35" s="743"/>
      <c r="F35" s="743"/>
      <c r="G35" s="743"/>
      <c r="H35" s="743"/>
      <c r="I35" s="189">
        <f>VLOOKUP( $B35, T_Aop[], 4, 1)</f>
        <v>515</v>
      </c>
      <c r="J35" s="572"/>
      <c r="K35" s="67">
        <f>SUBTOTAL( 9, K36:K50)</f>
        <v>369</v>
      </c>
      <c r="L35" s="68">
        <f>SUBTOTAL( 9, L36:L50)</f>
        <v>7295</v>
      </c>
      <c r="P35" s="27"/>
    </row>
    <row r="36" spans="2:16" ht="21" customHeight="1" x14ac:dyDescent="0.3">
      <c r="B36" s="47">
        <v>299</v>
      </c>
      <c r="C36" s="58" t="str">
        <f>VLOOKUP( $B36, T_Aop[], 5, 1)</f>
        <v>1</v>
      </c>
      <c r="D36" s="719" t="str">
        <f>VLOOKUP( $B36, T_Aop[], 6, 1)</f>
        <v xml:space="preserve">    Proceeds from sale of shares and capital stakes in subsidiaries, affiliates and joint ventures</v>
      </c>
      <c r="E36" s="719"/>
      <c r="F36" s="719"/>
      <c r="G36" s="719"/>
      <c r="H36" s="719"/>
      <c r="I36" s="59">
        <f>VLOOKUP( $B36, T_Aop[], 4, 1)</f>
        <v>516</v>
      </c>
      <c r="J36" s="571"/>
      <c r="K36" s="155">
        <v>200</v>
      </c>
      <c r="L36" s="156">
        <v>0</v>
      </c>
      <c r="P36" s="27"/>
    </row>
    <row r="37" spans="2:16" ht="12" customHeight="1" x14ac:dyDescent="0.3">
      <c r="B37" s="47">
        <v>300</v>
      </c>
      <c r="C37" s="62" t="str">
        <f>VLOOKUP( $B37, T_Aop[], 5, 1)</f>
        <v>2</v>
      </c>
      <c r="D37" s="742" t="str">
        <f>VLOOKUP( $B37, T_Aop[], 6, 1)</f>
        <v xml:space="preserve">    Proceeds from sale of real-estates, plant and equipment</v>
      </c>
      <c r="E37" s="742"/>
      <c r="F37" s="742"/>
      <c r="G37" s="742"/>
      <c r="H37" s="742"/>
      <c r="I37" s="75">
        <f>VLOOKUP( $B37, T_Aop[], 4, 1)</f>
        <v>517</v>
      </c>
      <c r="J37" s="572"/>
      <c r="K37" s="159"/>
      <c r="L37" s="160">
        <v>5500</v>
      </c>
      <c r="P37" s="27"/>
    </row>
    <row r="38" spans="2:16" ht="12" customHeight="1" x14ac:dyDescent="0.3">
      <c r="B38" s="47">
        <v>301</v>
      </c>
      <c r="C38" s="58" t="str">
        <f>VLOOKUP( $B38, T_Aop[], 5, 1)</f>
        <v>3</v>
      </c>
      <c r="D38" s="719" t="str">
        <f>VLOOKUP( $B38, T_Aop[], 6, 1)</f>
        <v xml:space="preserve">    Proceeds from sale of investment properties</v>
      </c>
      <c r="E38" s="719"/>
      <c r="F38" s="719"/>
      <c r="G38" s="719"/>
      <c r="H38" s="719"/>
      <c r="I38" s="59">
        <f>VLOOKUP( $B38, T_Aop[], 4, 1)</f>
        <v>518</v>
      </c>
      <c r="J38" s="571"/>
      <c r="K38" s="155"/>
      <c r="L38" s="156">
        <v>0</v>
      </c>
      <c r="P38" s="133" t="s">
        <v>313</v>
      </c>
    </row>
    <row r="39" spans="2:16" ht="12" customHeight="1" x14ac:dyDescent="0.3">
      <c r="B39" s="47">
        <v>302</v>
      </c>
      <c r="C39" s="62" t="str">
        <f>VLOOKUP( $B39, T_Aop[], 5, 1)</f>
        <v>4</v>
      </c>
      <c r="D39" s="742" t="str">
        <f>VLOOKUP( $B39, T_Aop[], 6, 1)</f>
        <v xml:space="preserve">    Proceeds from sale of biological assets</v>
      </c>
      <c r="E39" s="742"/>
      <c r="F39" s="742"/>
      <c r="G39" s="742"/>
      <c r="H39" s="742"/>
      <c r="I39" s="75">
        <f>VLOOKUP( $B39, T_Aop[], 4, 1)</f>
        <v>519</v>
      </c>
      <c r="J39" s="572"/>
      <c r="K39" s="159"/>
      <c r="L39" s="160">
        <v>0</v>
      </c>
      <c r="P39" s="27"/>
    </row>
    <row r="40" spans="2:16" ht="12" customHeight="1" x14ac:dyDescent="0.3">
      <c r="B40" s="47">
        <v>303</v>
      </c>
      <c r="C40" s="58" t="str">
        <f>VLOOKUP( $B40, T_Aop[], 5, 1)</f>
        <v>5</v>
      </c>
      <c r="D40" s="719" t="str">
        <f>VLOOKUP( $B40, T_Aop[], 6, 1)</f>
        <v xml:space="preserve">    Proceeds from sale of intangible assets</v>
      </c>
      <c r="E40" s="719"/>
      <c r="F40" s="719"/>
      <c r="G40" s="719"/>
      <c r="H40" s="719"/>
      <c r="I40" s="59">
        <f>VLOOKUP( $B40, T_Aop[], 4, 1)</f>
        <v>520</v>
      </c>
      <c r="J40" s="571"/>
      <c r="K40" s="155"/>
      <c r="L40" s="156">
        <v>0</v>
      </c>
      <c r="P40" s="27"/>
    </row>
    <row r="41" spans="2:16" ht="12" customHeight="1" x14ac:dyDescent="0.3">
      <c r="B41" s="47">
        <v>304</v>
      </c>
      <c r="C41" s="62" t="str">
        <f>VLOOKUP( $B41, T_Aop[], 5, 1)</f>
        <v>6</v>
      </c>
      <c r="D41" s="742" t="str">
        <f>VLOOKUP( $B41, T_Aop[], 6, 1)</f>
        <v xml:space="preserve">    Proceeds from sale of fixed assets available for sale</v>
      </c>
      <c r="E41" s="742"/>
      <c r="F41" s="742"/>
      <c r="G41" s="742"/>
      <c r="H41" s="742"/>
      <c r="I41" s="75">
        <f>VLOOKUP( $B41, T_Aop[], 4, 1)</f>
        <v>521</v>
      </c>
      <c r="J41" s="572"/>
      <c r="K41" s="159"/>
      <c r="L41" s="160">
        <v>0</v>
      </c>
      <c r="P41" s="27"/>
    </row>
    <row r="42" spans="2:16" ht="12" customHeight="1" x14ac:dyDescent="0.3">
      <c r="B42" s="47">
        <v>305</v>
      </c>
      <c r="C42" s="58" t="str">
        <f>VLOOKUP( $B42, T_Aop[], 5, 1)</f>
        <v>7</v>
      </c>
      <c r="D42" s="719" t="str">
        <f>VLOOKUP( $B42, T_Aop[], 6, 1)</f>
        <v xml:space="preserve">    Proceeds from financial assets held at fair value through other comprehensive income</v>
      </c>
      <c r="E42" s="719"/>
      <c r="F42" s="719"/>
      <c r="G42" s="719"/>
      <c r="H42" s="719"/>
      <c r="I42" s="59">
        <f>VLOOKUP( $B42, T_Aop[], 4, 1)</f>
        <v>522</v>
      </c>
      <c r="J42" s="571"/>
      <c r="K42" s="155"/>
      <c r="L42" s="156">
        <v>0</v>
      </c>
      <c r="P42" s="27"/>
    </row>
    <row r="43" spans="2:16" ht="12" customHeight="1" x14ac:dyDescent="0.3">
      <c r="B43" s="47">
        <v>306</v>
      </c>
      <c r="C43" s="62" t="str">
        <f>VLOOKUP( $B43, T_Aop[], 5, 1)</f>
        <v>8</v>
      </c>
      <c r="D43" s="742" t="str">
        <f>VLOOKUP( $B43, T_Aop[], 6, 1)</f>
        <v xml:space="preserve">    Proceeds from financial assets held at fair value through profit or loss</v>
      </c>
      <c r="E43" s="742"/>
      <c r="F43" s="742"/>
      <c r="G43" s="742"/>
      <c r="H43" s="742"/>
      <c r="I43" s="75">
        <f>VLOOKUP( $B43, T_Aop[], 4, 1)</f>
        <v>523</v>
      </c>
      <c r="J43" s="572"/>
      <c r="K43" s="159"/>
      <c r="L43" s="160">
        <v>0</v>
      </c>
      <c r="P43" s="27"/>
    </row>
    <row r="44" spans="2:16" ht="12" customHeight="1" x14ac:dyDescent="0.3">
      <c r="B44" s="47">
        <v>307</v>
      </c>
      <c r="C44" s="58" t="str">
        <f>VLOOKUP( $B44, T_Aop[], 5, 1)</f>
        <v>9</v>
      </c>
      <c r="D44" s="719" t="str">
        <f>VLOOKUP( $B44, T_Aop[], 6, 1)</f>
        <v xml:space="preserve">    Proceeds from other financial assets at amortised cost</v>
      </c>
      <c r="E44" s="719"/>
      <c r="F44" s="719"/>
      <c r="G44" s="719"/>
      <c r="H44" s="719"/>
      <c r="I44" s="59">
        <f>VLOOKUP( $B44, T_Aop[], 4, 1)</f>
        <v>524</v>
      </c>
      <c r="J44" s="571"/>
      <c r="K44" s="155"/>
      <c r="L44" s="156">
        <v>0</v>
      </c>
      <c r="P44" s="27"/>
    </row>
    <row r="45" spans="2:16" ht="12" customHeight="1" x14ac:dyDescent="0.3">
      <c r="B45" s="47">
        <v>308</v>
      </c>
      <c r="C45" s="62" t="str">
        <f>VLOOKUP( $B45, T_Aop[], 5, 1)</f>
        <v>10</v>
      </c>
      <c r="D45" s="742" t="str">
        <f>VLOOKUP( $B45, T_Aop[], 6, 1)</f>
        <v xml:space="preserve">    Proceeds from lease (principal)</v>
      </c>
      <c r="E45" s="742"/>
      <c r="F45" s="742"/>
      <c r="G45" s="742"/>
      <c r="H45" s="742"/>
      <c r="I45" s="75">
        <f>VLOOKUP( $B45, T_Aop[], 4, 1)</f>
        <v>525</v>
      </c>
      <c r="J45" s="572"/>
      <c r="K45" s="159"/>
      <c r="L45" s="160">
        <v>0</v>
      </c>
      <c r="P45" s="133" t="s">
        <v>313</v>
      </c>
    </row>
    <row r="46" spans="2:16" ht="12" customHeight="1" x14ac:dyDescent="0.3">
      <c r="B46" s="47">
        <v>309</v>
      </c>
      <c r="C46" s="58" t="str">
        <f>VLOOKUP( $B46, T_Aop[], 5, 1)</f>
        <v>11</v>
      </c>
      <c r="D46" s="719" t="str">
        <f>VLOOKUP( $B46, T_Aop[], 6, 1)</f>
        <v xml:space="preserve">    Proceeds from lease (interest)</v>
      </c>
      <c r="E46" s="719"/>
      <c r="F46" s="719"/>
      <c r="G46" s="719"/>
      <c r="H46" s="719"/>
      <c r="I46" s="59">
        <f>VLOOKUP( $B46, T_Aop[], 4, 1)</f>
        <v>526</v>
      </c>
      <c r="J46" s="571"/>
      <c r="K46" s="155"/>
      <c r="L46" s="156">
        <v>0</v>
      </c>
      <c r="P46" s="27"/>
    </row>
    <row r="47" spans="2:16" ht="12" customHeight="1" x14ac:dyDescent="0.3">
      <c r="B47" s="47">
        <v>310</v>
      </c>
      <c r="C47" s="62" t="str">
        <f>VLOOKUP( $B47, T_Aop[], 5, 1)</f>
        <v>12</v>
      </c>
      <c r="D47" s="742" t="str">
        <f>VLOOKUP( $B47, T_Aop[], 6, 1)</f>
        <v xml:space="preserve">    Proceeds from interests</v>
      </c>
      <c r="E47" s="742"/>
      <c r="F47" s="742"/>
      <c r="G47" s="742"/>
      <c r="H47" s="742"/>
      <c r="I47" s="75">
        <f>VLOOKUP( $B47, T_Aop[], 4, 1)</f>
        <v>527</v>
      </c>
      <c r="J47" s="572"/>
      <c r="K47" s="159">
        <v>169</v>
      </c>
      <c r="L47" s="160">
        <v>1795</v>
      </c>
      <c r="P47" s="27"/>
    </row>
    <row r="48" spans="2:16" ht="12" customHeight="1" x14ac:dyDescent="0.3">
      <c r="B48" s="47">
        <v>311</v>
      </c>
      <c r="C48" s="58" t="str">
        <f>VLOOKUP( $B48, T_Aop[], 5, 1)</f>
        <v>13</v>
      </c>
      <c r="D48" s="719" t="str">
        <f>VLOOKUP( $B48, T_Aop[], 6, 1)</f>
        <v xml:space="preserve">    Proceeds from dividends and participation in profit</v>
      </c>
      <c r="E48" s="719"/>
      <c r="F48" s="719"/>
      <c r="G48" s="719"/>
      <c r="H48" s="719"/>
      <c r="I48" s="59">
        <f>VLOOKUP( $B48, T_Aop[], 4, 1)</f>
        <v>528</v>
      </c>
      <c r="J48" s="571"/>
      <c r="K48" s="155"/>
      <c r="L48" s="156">
        <v>0</v>
      </c>
      <c r="P48" s="27"/>
    </row>
    <row r="49" spans="2:16" ht="12" customHeight="1" x14ac:dyDescent="0.3">
      <c r="B49" s="47">
        <v>312</v>
      </c>
      <c r="C49" s="62" t="str">
        <f>VLOOKUP( $B49, T_Aop[], 5, 1)</f>
        <v>14</v>
      </c>
      <c r="D49" s="742" t="str">
        <f>VLOOKUP( $B49, T_Aop[], 6, 1)</f>
        <v xml:space="preserve">    Proceeds from financial derivatives</v>
      </c>
      <c r="E49" s="742"/>
      <c r="F49" s="742"/>
      <c r="G49" s="742"/>
      <c r="H49" s="742"/>
      <c r="I49" s="75">
        <f>VLOOKUP( $B49, T_Aop[], 4, 1)</f>
        <v>529</v>
      </c>
      <c r="J49" s="572"/>
      <c r="K49" s="159"/>
      <c r="L49" s="160">
        <v>0</v>
      </c>
      <c r="P49" s="27"/>
    </row>
    <row r="50" spans="2:16" ht="12" customHeight="1" x14ac:dyDescent="0.3">
      <c r="B50" s="47">
        <v>313</v>
      </c>
      <c r="C50" s="58" t="str">
        <f>VLOOKUP( $B50, T_Aop[], 5, 1)</f>
        <v>15</v>
      </c>
      <c r="D50" s="719" t="str">
        <f>VLOOKUP( $B50, T_Aop[], 6, 1)</f>
        <v xml:space="preserve">    Other proceeds from investment activities</v>
      </c>
      <c r="E50" s="719"/>
      <c r="F50" s="719"/>
      <c r="G50" s="719"/>
      <c r="H50" s="719"/>
      <c r="I50" s="59">
        <f>VLOOKUP( $B50, T_Aop[], 4, 1)</f>
        <v>530</v>
      </c>
      <c r="J50" s="571"/>
      <c r="K50" s="155"/>
      <c r="L50" s="156">
        <v>0</v>
      </c>
      <c r="P50" s="27"/>
    </row>
    <row r="51" spans="2:16" ht="12" customHeight="1" x14ac:dyDescent="0.3">
      <c r="B51" s="47">
        <v>314</v>
      </c>
      <c r="C51" s="62" t="str">
        <f>VLOOKUP( $B51, T_Aop[], 5, 1)</f>
        <v>II</v>
      </c>
      <c r="D51" s="743" t="str">
        <f>VLOOKUP( $B51, T_Aop[], 6, 1)</f>
        <v xml:space="preserve">  Cash outflow from investing activities  (532 to 541)</v>
      </c>
      <c r="E51" s="743"/>
      <c r="F51" s="743"/>
      <c r="G51" s="743"/>
      <c r="H51" s="743"/>
      <c r="I51" s="189">
        <f>VLOOKUP( $B51, T_Aop[], 4, 1)</f>
        <v>531</v>
      </c>
      <c r="J51" s="572"/>
      <c r="K51" s="64">
        <f>SUBTOTAL( 9, K52:K61)</f>
        <v>204928</v>
      </c>
      <c r="L51" s="65">
        <f>SUBTOTAL( 9, L52:L61)</f>
        <v>137120</v>
      </c>
      <c r="P51" s="27"/>
    </row>
    <row r="52" spans="2:16" ht="23.25" customHeight="1" x14ac:dyDescent="0.3">
      <c r="B52" s="47">
        <v>315</v>
      </c>
      <c r="C52" s="58" t="str">
        <f>VLOOKUP( $B52, T_Aop[], 5, 1)</f>
        <v>1</v>
      </c>
      <c r="D52" s="719" t="str">
        <f>VLOOKUP( $B52, T_Aop[], 6, 1)</f>
        <v xml:space="preserve">    Outflows from purchase of shares and capital stakes in subsidiaries, affiliates and joint ventures</v>
      </c>
      <c r="E52" s="719"/>
      <c r="F52" s="719"/>
      <c r="G52" s="719"/>
      <c r="H52" s="719"/>
      <c r="I52" s="59">
        <f>VLOOKUP( $B52, T_Aop[], 4, 1)</f>
        <v>532</v>
      </c>
      <c r="J52" s="571"/>
      <c r="K52" s="155"/>
      <c r="L52" s="156">
        <v>0</v>
      </c>
      <c r="P52" s="27"/>
    </row>
    <row r="53" spans="2:16" ht="12" customHeight="1" x14ac:dyDescent="0.3">
      <c r="B53" s="47">
        <v>316</v>
      </c>
      <c r="C53" s="62" t="str">
        <f>VLOOKUP( $B53, T_Aop[], 5, 1)</f>
        <v>2</v>
      </c>
      <c r="D53" s="742" t="str">
        <f>VLOOKUP( $B53, T_Aop[], 6, 1)</f>
        <v xml:space="preserve">    Оutflows from purchase of real-estates, plant and equipment</v>
      </c>
      <c r="E53" s="742"/>
      <c r="F53" s="742"/>
      <c r="G53" s="742"/>
      <c r="H53" s="742"/>
      <c r="I53" s="75">
        <f>VLOOKUP( $B53, T_Aop[], 4, 1)</f>
        <v>533</v>
      </c>
      <c r="J53" s="572"/>
      <c r="K53" s="159">
        <v>204928</v>
      </c>
      <c r="L53" s="160">
        <v>137120</v>
      </c>
      <c r="P53" s="27"/>
    </row>
    <row r="54" spans="2:16" ht="12" customHeight="1" x14ac:dyDescent="0.3">
      <c r="B54" s="47">
        <v>317</v>
      </c>
      <c r="C54" s="58" t="str">
        <f>VLOOKUP( $B54, T_Aop[], 5, 1)</f>
        <v>3</v>
      </c>
      <c r="D54" s="719" t="str">
        <f>VLOOKUP( $B54, T_Aop[], 6, 1)</f>
        <v xml:space="preserve">    Outflows from purchase of investment properties</v>
      </c>
      <c r="E54" s="719"/>
      <c r="F54" s="719"/>
      <c r="G54" s="719"/>
      <c r="H54" s="719"/>
      <c r="I54" s="59">
        <f>VLOOKUP( $B54, T_Aop[], 4, 1)</f>
        <v>534</v>
      </c>
      <c r="J54" s="571"/>
      <c r="K54" s="155"/>
      <c r="L54" s="156">
        <v>0</v>
      </c>
      <c r="P54" s="27"/>
    </row>
    <row r="55" spans="2:16" ht="12" customHeight="1" x14ac:dyDescent="0.3">
      <c r="B55" s="47">
        <v>318</v>
      </c>
      <c r="C55" s="62" t="str">
        <f>VLOOKUP( $B55, T_Aop[], 5, 1)</f>
        <v>4</v>
      </c>
      <c r="D55" s="742" t="str">
        <f>VLOOKUP( $B55, T_Aop[], 6, 1)</f>
        <v xml:space="preserve">    Outflows from purchase of biological assets</v>
      </c>
      <c r="E55" s="742"/>
      <c r="F55" s="742"/>
      <c r="G55" s="742"/>
      <c r="H55" s="742"/>
      <c r="I55" s="75">
        <f>VLOOKUP( $B55, T_Aop[], 4, 1)</f>
        <v>535</v>
      </c>
      <c r="J55" s="572"/>
      <c r="K55" s="159"/>
      <c r="L55" s="160">
        <v>0</v>
      </c>
      <c r="P55" s="27"/>
    </row>
    <row r="56" spans="2:16" ht="12" customHeight="1" x14ac:dyDescent="0.3">
      <c r="B56" s="47">
        <v>319</v>
      </c>
      <c r="C56" s="58" t="str">
        <f>VLOOKUP( $B56, T_Aop[], 5, 1)</f>
        <v>5</v>
      </c>
      <c r="D56" s="719" t="str">
        <f>VLOOKUP( $B56, T_Aop[], 6, 1)</f>
        <v xml:space="preserve">    Outflows from purchase of intangible assets</v>
      </c>
      <c r="E56" s="719"/>
      <c r="F56" s="719"/>
      <c r="G56" s="719"/>
      <c r="H56" s="719"/>
      <c r="I56" s="59">
        <f>VLOOKUP( $B56, T_Aop[], 4, 1)</f>
        <v>536</v>
      </c>
      <c r="J56" s="571"/>
      <c r="K56" s="155"/>
      <c r="L56" s="156">
        <v>0</v>
      </c>
      <c r="P56" s="27"/>
    </row>
    <row r="57" spans="2:16" ht="12" customHeight="1" x14ac:dyDescent="0.3">
      <c r="B57" s="47">
        <v>320</v>
      </c>
      <c r="C57" s="62" t="str">
        <f>VLOOKUP( $B57, T_Aop[], 5, 1)</f>
        <v>6</v>
      </c>
      <c r="D57" s="742" t="str">
        <f>VLOOKUP( $B57, T_Aop[], 6, 1)</f>
        <v xml:space="preserve">    Outflows from financial assets held at fair value through other comprehensive income</v>
      </c>
      <c r="E57" s="742"/>
      <c r="F57" s="742"/>
      <c r="G57" s="742"/>
      <c r="H57" s="742"/>
      <c r="I57" s="75">
        <f>VLOOKUP( $B57, T_Aop[], 4, 1)</f>
        <v>537</v>
      </c>
      <c r="J57" s="572"/>
      <c r="K57" s="159"/>
      <c r="L57" s="160">
        <v>0</v>
      </c>
      <c r="P57" s="27"/>
    </row>
    <row r="58" spans="2:16" ht="12" customHeight="1" x14ac:dyDescent="0.3">
      <c r="B58" s="47">
        <v>321</v>
      </c>
      <c r="C58" s="58" t="str">
        <f>VLOOKUP( $B58, T_Aop[], 5, 1)</f>
        <v>7</v>
      </c>
      <c r="D58" s="719" t="str">
        <f>VLOOKUP( $B58, T_Aop[], 6, 1)</f>
        <v xml:space="preserve">    Outflows from financial assets held at fair value through profit or loss</v>
      </c>
      <c r="E58" s="719"/>
      <c r="F58" s="719"/>
      <c r="G58" s="719"/>
      <c r="H58" s="719"/>
      <c r="I58" s="59">
        <f>VLOOKUP( $B58, T_Aop[], 4, 1)</f>
        <v>538</v>
      </c>
      <c r="J58" s="571"/>
      <c r="K58" s="155"/>
      <c r="L58" s="156">
        <v>0</v>
      </c>
      <c r="P58" s="27"/>
    </row>
    <row r="59" spans="2:16" ht="12" customHeight="1" x14ac:dyDescent="0.3">
      <c r="B59" s="47">
        <v>322</v>
      </c>
      <c r="C59" s="62" t="str">
        <f>VLOOKUP( $B59, T_Aop[], 5, 1)</f>
        <v>8</v>
      </c>
      <c r="D59" s="742" t="str">
        <f>VLOOKUP( $B59, T_Aop[], 6, 1)</f>
        <v xml:space="preserve">    Outflows from other financial assets at amortised cost</v>
      </c>
      <c r="E59" s="742"/>
      <c r="F59" s="742"/>
      <c r="G59" s="742"/>
      <c r="H59" s="742"/>
      <c r="I59" s="75">
        <f>VLOOKUP( $B59, T_Aop[], 4, 1)</f>
        <v>539</v>
      </c>
      <c r="J59" s="572"/>
      <c r="K59" s="159"/>
      <c r="L59" s="160">
        <v>0</v>
      </c>
      <c r="P59" s="27"/>
    </row>
    <row r="60" spans="2:16" ht="12" customHeight="1" x14ac:dyDescent="0.3">
      <c r="B60" s="47">
        <v>323</v>
      </c>
      <c r="C60" s="58" t="str">
        <f>VLOOKUP( $B60, T_Aop[], 5, 1)</f>
        <v>9</v>
      </c>
      <c r="D60" s="719" t="str">
        <f>VLOOKUP( $B60, T_Aop[], 6, 1)</f>
        <v xml:space="preserve">    Outflows from financial derivatives</v>
      </c>
      <c r="E60" s="719"/>
      <c r="F60" s="719"/>
      <c r="G60" s="719"/>
      <c r="H60" s="719"/>
      <c r="I60" s="59">
        <f>VLOOKUP( $B60, T_Aop[], 4, 1)</f>
        <v>540</v>
      </c>
      <c r="J60" s="571"/>
      <c r="K60" s="155"/>
      <c r="L60" s="156">
        <v>0</v>
      </c>
      <c r="P60" s="27"/>
    </row>
    <row r="61" spans="2:16" ht="12" customHeight="1" x14ac:dyDescent="0.3">
      <c r="B61" s="47">
        <v>324</v>
      </c>
      <c r="C61" s="62" t="str">
        <f>VLOOKUP( $B61, T_Aop[], 5, 1)</f>
        <v>10</v>
      </c>
      <c r="D61" s="742" t="str">
        <f>VLOOKUP( $B61, T_Aop[], 6, 1)</f>
        <v xml:space="preserve">    Outflows arising from other investment activities</v>
      </c>
      <c r="E61" s="742"/>
      <c r="F61" s="742"/>
      <c r="G61" s="742"/>
      <c r="H61" s="742"/>
      <c r="I61" s="75">
        <f>VLOOKUP( $B61, T_Aop[], 4, 1)</f>
        <v>541</v>
      </c>
      <c r="J61" s="572"/>
      <c r="K61" s="159"/>
      <c r="L61" s="160">
        <v>0</v>
      </c>
      <c r="P61" s="27"/>
    </row>
    <row r="62" spans="2:16" x14ac:dyDescent="0.3">
      <c r="B62" s="47">
        <v>325</v>
      </c>
      <c r="C62" s="58" t="str">
        <f>VLOOKUP( $B62, T_Aop[], 5, 1)</f>
        <v>III</v>
      </c>
      <c r="D62" s="724" t="str">
        <f>VLOOKUP( $B62, T_Aop[], 6, 1)</f>
        <v xml:space="preserve">  Net cash inflow from investing activities (515-531)</v>
      </c>
      <c r="E62" s="724"/>
      <c r="F62" s="724"/>
      <c r="G62" s="724"/>
      <c r="H62" s="724"/>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3">
      <c r="B63" s="47">
        <v>326</v>
      </c>
      <c r="C63" s="62" t="str">
        <f>VLOOKUP( $B63, T_Aop[], 5, 1)</f>
        <v>IV</v>
      </c>
      <c r="D63" s="743" t="str">
        <f>VLOOKUP( $B63, T_Aop[], 6, 1)</f>
        <v xml:space="preserve">  Net cash outflow from investing activities (531 – 515)</v>
      </c>
      <c r="E63" s="743"/>
      <c r="F63" s="743"/>
      <c r="G63" s="743"/>
      <c r="H63" s="743"/>
      <c r="I63" s="189">
        <f>VLOOKUP( $B63, T_Aop[], 4, 1)</f>
        <v>543</v>
      </c>
      <c r="J63" s="572"/>
      <c r="K63" s="67">
        <f>IF( SUBTOTAL( 9, K35:K50) - SUBTOTAL( 9, K51:K61) &gt;= 0, 0, ABS( SUBTOTAL( 9, K35:K50) - SUBTOTAL( 9, K51:K61)) )</f>
        <v>204559</v>
      </c>
      <c r="L63" s="68">
        <f>IF( SUBTOTAL( 9, L35:L50) - SUBTOTAL( 9, L51:L61) &gt;= 0, 0, ABS( SUBTOTAL( 9, L35:L50) - SUBTOTAL( 9, L51:L61)) )</f>
        <v>129825</v>
      </c>
      <c r="P63" s="27"/>
    </row>
    <row r="64" spans="2:16" ht="22.5" customHeight="1" x14ac:dyDescent="0.3">
      <c r="B64" s="47">
        <v>327</v>
      </c>
      <c r="C64" s="58" t="str">
        <f>VLOOKUP( $B64, T_Aop[], 5, 1)</f>
        <v>B_x000D_
I</v>
      </c>
      <c r="D64" s="724" t="str">
        <f>VLOOKUP( $B64, T_Aop[], 6, 1)</f>
        <v>CASH FLOW FROM FINANCING ACTIVITIES  Cash inflow from financing activities  (545 to 550)</v>
      </c>
      <c r="E64" s="724"/>
      <c r="F64" s="724"/>
      <c r="G64" s="724"/>
      <c r="H64" s="724"/>
      <c r="I64" s="178">
        <f>VLOOKUP( $B64, T_Aop[], 4, 1)</f>
        <v>544</v>
      </c>
      <c r="J64" s="571"/>
      <c r="K64" s="60">
        <f>SUBTOTAL( 9, K65:K70)</f>
        <v>0</v>
      </c>
      <c r="L64" s="61">
        <f>SUBTOTAL( 9, L65:L70)</f>
        <v>0</v>
      </c>
      <c r="P64" s="27"/>
    </row>
    <row r="65" spans="2:16" ht="12" customHeight="1" x14ac:dyDescent="0.3">
      <c r="B65" s="47">
        <v>328</v>
      </c>
      <c r="C65" s="62" t="str">
        <f>VLOOKUP( $B65, T_Aop[], 5, 1)</f>
        <v>1</v>
      </c>
      <c r="D65" s="742" t="str">
        <f>VLOOKUP( $B65, T_Aop[], 6, 1)</f>
        <v xml:space="preserve">    Inflows from increase in share capital</v>
      </c>
      <c r="E65" s="742"/>
      <c r="F65" s="742"/>
      <c r="G65" s="742"/>
      <c r="H65" s="742"/>
      <c r="I65" s="75">
        <f>VLOOKUP( $B65, T_Aop[], 4, 1)</f>
        <v>545</v>
      </c>
      <c r="J65" s="572"/>
      <c r="K65" s="159"/>
      <c r="L65" s="160">
        <v>0</v>
      </c>
      <c r="P65" s="27"/>
    </row>
    <row r="66" spans="2:16" ht="12" customHeight="1" x14ac:dyDescent="0.3">
      <c r="B66" s="47">
        <v>329</v>
      </c>
      <c r="C66" s="58" t="str">
        <f>VLOOKUP( $B66, T_Aop[], 5, 1)</f>
        <v>2</v>
      </c>
      <c r="D66" s="719" t="str">
        <f>VLOOKUP( $B66, T_Aop[], 6, 1)</f>
        <v xml:space="preserve">    Inflows from sale of redeemed shares</v>
      </c>
      <c r="E66" s="719"/>
      <c r="F66" s="719"/>
      <c r="G66" s="719"/>
      <c r="H66" s="719"/>
      <c r="I66" s="59">
        <f>VLOOKUP( $B66, T_Aop[], 4, 1)</f>
        <v>546</v>
      </c>
      <c r="J66" s="571"/>
      <c r="K66" s="155"/>
      <c r="L66" s="156">
        <v>0</v>
      </c>
      <c r="P66" s="27"/>
    </row>
    <row r="67" spans="2:16" ht="12" customHeight="1" x14ac:dyDescent="0.3">
      <c r="B67" s="47">
        <v>330</v>
      </c>
      <c r="C67" s="62" t="str">
        <f>VLOOKUP( $B67, T_Aop[], 5, 1)</f>
        <v>3</v>
      </c>
      <c r="D67" s="742" t="str">
        <f>VLOOKUP( $B67, T_Aop[], 6, 1)</f>
        <v xml:space="preserve">    Inflows from long-term loans</v>
      </c>
      <c r="E67" s="742"/>
      <c r="F67" s="742"/>
      <c r="G67" s="742"/>
      <c r="H67" s="742"/>
      <c r="I67" s="75">
        <f>VLOOKUP( $B67, T_Aop[], 4, 1)</f>
        <v>547</v>
      </c>
      <c r="J67" s="572"/>
      <c r="K67" s="159"/>
      <c r="L67" s="160">
        <v>0</v>
      </c>
      <c r="P67" s="27"/>
    </row>
    <row r="68" spans="2:16" ht="12" customHeight="1" x14ac:dyDescent="0.3">
      <c r="B68" s="47">
        <v>331</v>
      </c>
      <c r="C68" s="58" t="str">
        <f>VLOOKUP( $B68, T_Aop[], 5, 1)</f>
        <v>4</v>
      </c>
      <c r="D68" s="719" t="str">
        <f>VLOOKUP( $B68, T_Aop[], 6, 1)</f>
        <v xml:space="preserve">    Inflows from short-term loans</v>
      </c>
      <c r="E68" s="719"/>
      <c r="F68" s="719"/>
      <c r="G68" s="719"/>
      <c r="H68" s="719"/>
      <c r="I68" s="59">
        <f>VLOOKUP( $B68, T_Aop[], 4, 1)</f>
        <v>548</v>
      </c>
      <c r="J68" s="571"/>
      <c r="K68" s="155"/>
      <c r="L68" s="156">
        <v>0</v>
      </c>
      <c r="P68" s="27"/>
    </row>
    <row r="69" spans="2:16" ht="12" customHeight="1" x14ac:dyDescent="0.3">
      <c r="B69" s="47">
        <v>332</v>
      </c>
      <c r="C69" s="66" t="str">
        <f>VLOOKUP( $B69, T_Aop[], 5, 1)</f>
        <v>5</v>
      </c>
      <c r="D69" s="742" t="str">
        <f>VLOOKUP( $B69, T_Aop[], 6, 1)</f>
        <v xml:space="preserve">    Inflows from issued debt instruments</v>
      </c>
      <c r="E69" s="742"/>
      <c r="F69" s="742"/>
      <c r="G69" s="742"/>
      <c r="H69" s="742"/>
      <c r="I69" s="75">
        <f>VLOOKUP( $B69, T_Aop[], 4, 1)</f>
        <v>549</v>
      </c>
      <c r="J69" s="572"/>
      <c r="K69" s="159"/>
      <c r="L69" s="160">
        <v>0</v>
      </c>
      <c r="P69" s="27"/>
    </row>
    <row r="70" spans="2:16" ht="12" customHeight="1" x14ac:dyDescent="0.3">
      <c r="B70" s="47">
        <v>333</v>
      </c>
      <c r="C70" s="58" t="str">
        <f>VLOOKUP( $B70, T_Aop[], 5, 1)</f>
        <v>6</v>
      </c>
      <c r="D70" s="719" t="str">
        <f>VLOOKUP( $B70, T_Aop[], 6, 1)</f>
        <v xml:space="preserve">    Other inflows from financing activities</v>
      </c>
      <c r="E70" s="719"/>
      <c r="F70" s="719"/>
      <c r="G70" s="719"/>
      <c r="H70" s="719"/>
      <c r="I70" s="59">
        <f>VLOOKUP( $B70, T_Aop[], 4, 1)</f>
        <v>550</v>
      </c>
      <c r="J70" s="571"/>
      <c r="K70" s="155"/>
      <c r="L70" s="156">
        <v>0</v>
      </c>
      <c r="P70" s="27"/>
    </row>
    <row r="71" spans="2:16" ht="12" customHeight="1" x14ac:dyDescent="0.3">
      <c r="B71" s="47">
        <v>334</v>
      </c>
      <c r="C71" s="66" t="str">
        <f>VLOOKUP( $B71, T_Aop[], 5, 1)</f>
        <v>II</v>
      </c>
      <c r="D71" s="742" t="str">
        <f>VLOOKUP( $B71, T_Aop[], 6, 1)</f>
        <v xml:space="preserve">    Cash outflow from financing activities (552 to 558)</v>
      </c>
      <c r="E71" s="742"/>
      <c r="F71" s="742"/>
      <c r="G71" s="742"/>
      <c r="H71" s="742"/>
      <c r="I71" s="75">
        <f>VLOOKUP( $B71, T_Aop[], 4, 1)</f>
        <v>551</v>
      </c>
      <c r="J71" s="572"/>
      <c r="K71" s="496">
        <f>SUBTOTAL( 9, K72:K78)</f>
        <v>0</v>
      </c>
      <c r="L71" s="502">
        <f>SUBTOTAL( 9, L72:L78)</f>
        <v>609000</v>
      </c>
      <c r="P71" s="27"/>
    </row>
    <row r="72" spans="2:16" ht="12" customHeight="1" x14ac:dyDescent="0.3">
      <c r="B72" s="47">
        <v>335</v>
      </c>
      <c r="C72" s="58" t="str">
        <f>VLOOKUP( $B72, T_Aop[], 5, 1)</f>
        <v>1</v>
      </c>
      <c r="D72" s="719" t="str">
        <f>VLOOKUP( $B72, T_Aop[], 6, 1)</f>
        <v xml:space="preserve">    Outflow from redemption of own shares and capital stakes</v>
      </c>
      <c r="E72" s="719"/>
      <c r="F72" s="719"/>
      <c r="G72" s="719"/>
      <c r="H72" s="719"/>
      <c r="I72" s="59">
        <f>VLOOKUP( $B72, T_Aop[], 4, 1)</f>
        <v>552</v>
      </c>
      <c r="J72" s="571"/>
      <c r="K72" s="155"/>
      <c r="L72" s="156">
        <v>0</v>
      </c>
      <c r="P72" s="27"/>
    </row>
    <row r="73" spans="2:16" ht="12" customHeight="1" x14ac:dyDescent="0.3">
      <c r="B73" s="47">
        <v>336</v>
      </c>
      <c r="C73" s="66" t="str">
        <f>VLOOKUP( $B73, T_Aop[], 5, 1)</f>
        <v>2</v>
      </c>
      <c r="D73" s="742" t="str">
        <f>VLOOKUP( $B73, T_Aop[], 6, 1)</f>
        <v xml:space="preserve">    Outflow from long-term loans </v>
      </c>
      <c r="E73" s="742"/>
      <c r="F73" s="742"/>
      <c r="G73" s="742"/>
      <c r="H73" s="742"/>
      <c r="I73" s="75">
        <f>VLOOKUP( $B73, T_Aop[], 4, 1)</f>
        <v>553</v>
      </c>
      <c r="J73" s="572"/>
      <c r="K73" s="159"/>
      <c r="L73" s="160">
        <v>609000</v>
      </c>
      <c r="P73" s="27"/>
    </row>
    <row r="74" spans="2:16" ht="12" customHeight="1" x14ac:dyDescent="0.3">
      <c r="B74" s="47">
        <v>337</v>
      </c>
      <c r="C74" s="58" t="str">
        <f>VLOOKUP( $B74, T_Aop[], 5, 1)</f>
        <v>3</v>
      </c>
      <c r="D74" s="719" t="str">
        <f>VLOOKUP( $B74, T_Aop[], 6, 1)</f>
        <v xml:space="preserve">    Outflow from short-term loans</v>
      </c>
      <c r="E74" s="719"/>
      <c r="F74" s="719"/>
      <c r="G74" s="719"/>
      <c r="H74" s="719"/>
      <c r="I74" s="59">
        <f>VLOOKUP( $B74, T_Aop[], 4, 1)</f>
        <v>554</v>
      </c>
      <c r="J74" s="571"/>
      <c r="K74" s="155"/>
      <c r="L74" s="156">
        <v>0</v>
      </c>
      <c r="P74" s="27"/>
    </row>
    <row r="75" spans="2:16" ht="12" customHeight="1" x14ac:dyDescent="0.3">
      <c r="B75" s="47">
        <v>338</v>
      </c>
      <c r="C75" s="66" t="str">
        <f>VLOOKUP( $B75, T_Aop[], 5, 1)</f>
        <v>4</v>
      </c>
      <c r="D75" s="742" t="str">
        <f>VLOOKUP( $B75, T_Aop[], 6, 1)</f>
        <v xml:space="preserve">    Outflow from finance lease</v>
      </c>
      <c r="E75" s="742"/>
      <c r="F75" s="742"/>
      <c r="G75" s="742"/>
      <c r="H75" s="742"/>
      <c r="I75" s="75">
        <f>VLOOKUP( $B75, T_Aop[], 4, 1)</f>
        <v>555</v>
      </c>
      <c r="J75" s="572"/>
      <c r="K75" s="159"/>
      <c r="L75" s="160">
        <v>0</v>
      </c>
      <c r="P75" s="27"/>
    </row>
    <row r="76" spans="2:16" ht="12" customHeight="1" x14ac:dyDescent="0.3">
      <c r="B76" s="47">
        <v>339</v>
      </c>
      <c r="C76" s="58" t="str">
        <f>VLOOKUP( $B76, T_Aop[], 5, 1)</f>
        <v>5</v>
      </c>
      <c r="D76" s="719" t="str">
        <f>VLOOKUP( $B76, T_Aop[], 6, 1)</f>
        <v xml:space="preserve">    Outflow from debt instruments</v>
      </c>
      <c r="E76" s="719"/>
      <c r="F76" s="719"/>
      <c r="G76" s="719"/>
      <c r="H76" s="719"/>
      <c r="I76" s="59">
        <f>VLOOKUP( $B76, T_Aop[], 4, 1)</f>
        <v>556</v>
      </c>
      <c r="J76" s="571"/>
      <c r="K76" s="155"/>
      <c r="L76" s="156">
        <v>0</v>
      </c>
      <c r="P76" s="27"/>
    </row>
    <row r="77" spans="2:16" ht="12" customHeight="1" x14ac:dyDescent="0.3">
      <c r="B77" s="47">
        <v>340</v>
      </c>
      <c r="C77" s="66" t="str">
        <f>VLOOKUP( $B77, T_Aop[], 5, 1)</f>
        <v>6</v>
      </c>
      <c r="D77" s="742" t="str">
        <f>VLOOKUP( $B77, T_Aop[], 6, 1)</f>
        <v xml:space="preserve">    Outflow arising from dividends</v>
      </c>
      <c r="E77" s="742"/>
      <c r="F77" s="742"/>
      <c r="G77" s="742"/>
      <c r="H77" s="742"/>
      <c r="I77" s="75">
        <f>VLOOKUP( $B77, T_Aop[], 4, 1)</f>
        <v>557</v>
      </c>
      <c r="J77" s="572"/>
      <c r="K77" s="159"/>
      <c r="L77" s="160">
        <v>0</v>
      </c>
      <c r="P77" s="27"/>
    </row>
    <row r="78" spans="2:16" ht="12" customHeight="1" x14ac:dyDescent="0.3">
      <c r="B78" s="47">
        <v>341</v>
      </c>
      <c r="C78" s="58" t="str">
        <f>VLOOKUP( $B78, T_Aop[], 5, 1)</f>
        <v>7</v>
      </c>
      <c r="D78" s="719" t="str">
        <f>VLOOKUP( $B78, T_Aop[], 6, 1)</f>
        <v xml:space="preserve">    Other outflows from financing activities</v>
      </c>
      <c r="E78" s="719"/>
      <c r="F78" s="719"/>
      <c r="G78" s="719"/>
      <c r="H78" s="719"/>
      <c r="I78" s="59">
        <f>VLOOKUP( $B78, T_Aop[], 4, 1)</f>
        <v>558</v>
      </c>
      <c r="J78" s="571"/>
      <c r="K78" s="155"/>
      <c r="L78" s="156">
        <v>0</v>
      </c>
      <c r="P78" s="27"/>
    </row>
    <row r="79" spans="2:16" ht="12" customHeight="1" x14ac:dyDescent="0.3">
      <c r="B79" s="47">
        <v>342</v>
      </c>
      <c r="C79" s="66" t="str">
        <f>VLOOKUP( $B79, T_Aop[], 5, 1)</f>
        <v>III</v>
      </c>
      <c r="D79" s="743" t="str">
        <f>VLOOKUP( $B79, T_Aop[], 6, 1)</f>
        <v xml:space="preserve">  Net inflow of cash from financing activities (544 – 551) </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3">
      <c r="B80" s="47">
        <v>343</v>
      </c>
      <c r="C80" s="58" t="str">
        <f>VLOOKUP( $B80, T_Aop[], 5, 1)</f>
        <v>IV</v>
      </c>
      <c r="D80" s="724" t="str">
        <f>VLOOKUP( $B80, T_Aop[], 6, 1)</f>
        <v xml:space="preserve">  Net outflow of cash from financing activities (551 – 544) </v>
      </c>
      <c r="E80" s="724"/>
      <c r="F80" s="724"/>
      <c r="G80" s="724"/>
      <c r="H80" s="724"/>
      <c r="I80" s="178">
        <f>VLOOKUP( $B80, T_Aop[], 4, 1)</f>
        <v>560</v>
      </c>
      <c r="J80" s="571"/>
      <c r="K80" s="60">
        <f>IF( SUBTOTAL( 9, K64:K70) - SUBTOTAL( 9, K71:K78) &gt;= 0, 0, ABS( SUBTOTAL( 9, K64:K70) - SUBTOTAL( 9, K71:K78)) )</f>
        <v>0</v>
      </c>
      <c r="L80" s="61">
        <f>IF( SUBTOTAL( 9, L64:L70) - SUBTOTAL( 9, L71:L78) &gt;= 0, 0, ABS( SUBTOTAL( 9, L64:L70) - SUBTOTAL( 9, L71:L78)) )</f>
        <v>609000</v>
      </c>
      <c r="P80" s="27"/>
    </row>
    <row r="81" spans="2:16" ht="12.75" customHeight="1" x14ac:dyDescent="0.3">
      <c r="B81" s="47">
        <v>344</v>
      </c>
      <c r="C81" s="66" t="str">
        <f>VLOOKUP( $B81, T_Aop[], 5, 1)</f>
        <v>G</v>
      </c>
      <c r="D81" s="743" t="str">
        <f>VLOOKUP( $B81, T_Aop[], 6, 1)</f>
        <v>TOTAL CASH INFLOW (501 + 515 + 544)</v>
      </c>
      <c r="E81" s="743"/>
      <c r="F81" s="743"/>
      <c r="G81" s="743"/>
      <c r="H81" s="743"/>
      <c r="I81" s="189">
        <f>VLOOKUP( $B81, T_Aop[], 4, 1)</f>
        <v>561</v>
      </c>
      <c r="J81" s="572"/>
      <c r="K81" s="67">
        <f>SUBTOTAL( 9, K21:K25, K35:K50, K64:K70)</f>
        <v>4884410</v>
      </c>
      <c r="L81" s="68">
        <f>SUBTOTAL( 9, L21:L25, L35:L50, L64:L70)</f>
        <v>4598663</v>
      </c>
      <c r="P81" s="27"/>
    </row>
    <row r="82" spans="2:16" ht="12.75" customHeight="1" x14ac:dyDescent="0.3">
      <c r="B82" s="47">
        <v>345</v>
      </c>
      <c r="C82" s="58" t="str">
        <f>VLOOKUP( $B82, T_Aop[], 5, 1)</f>
        <v>D</v>
      </c>
      <c r="D82" s="724" t="str">
        <f>VLOOKUP( $B82, T_Aop[], 6, 1)</f>
        <v>TOTAL CASH OUTFLOW (506 + 531 + 551)</v>
      </c>
      <c r="E82" s="724"/>
      <c r="F82" s="724"/>
      <c r="G82" s="724"/>
      <c r="H82" s="724"/>
      <c r="I82" s="178">
        <f>VLOOKUP( $B82, T_Aop[], 4, 1)</f>
        <v>562</v>
      </c>
      <c r="J82" s="571"/>
      <c r="K82" s="60">
        <f>SUBTOTAL( 9, K26:K32, K51:K61, K71:K78)</f>
        <v>5005615</v>
      </c>
      <c r="L82" s="61">
        <f>SUBTOTAL( 9, L26:L32, L51:L61, L71:L78)</f>
        <v>4152615</v>
      </c>
      <c r="P82" s="27"/>
    </row>
    <row r="83" spans="2:16" ht="12.75" customHeight="1" x14ac:dyDescent="0.3">
      <c r="B83" s="47">
        <v>346</v>
      </c>
      <c r="C83" s="66" t="str">
        <f>VLOOKUP( $B83, T_Aop[], 5, 1)</f>
        <v>Đ</v>
      </c>
      <c r="D83" s="725" t="str">
        <f>VLOOKUP( $B83, T_Aop[], 6, 1)</f>
        <v>NET CASH INFLOW (561 – 562)</v>
      </c>
      <c r="E83" s="725"/>
      <c r="F83" s="725"/>
      <c r="G83" s="725"/>
      <c r="H83" s="725"/>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446048</v>
      </c>
      <c r="P83" s="27"/>
    </row>
    <row r="84" spans="2:16" ht="12.75" customHeight="1" x14ac:dyDescent="0.3">
      <c r="B84" s="47">
        <v>347</v>
      </c>
      <c r="C84" s="58" t="str">
        <f>VLOOKUP( $B84, T_Aop[], 5, 1)</f>
        <v>E</v>
      </c>
      <c r="D84" s="724" t="str">
        <f>VLOOKUP( $B84, T_Aop[], 6, 1)</f>
        <v>NET CASH OUTFLOW (562 – 561)</v>
      </c>
      <c r="E84" s="724"/>
      <c r="F84" s="724"/>
      <c r="G84" s="724"/>
      <c r="H84" s="724"/>
      <c r="I84" s="178">
        <f>VLOOKUP( $B84, T_Aop[], 4, 1)</f>
        <v>564</v>
      </c>
      <c r="J84" s="571"/>
      <c r="K84" s="60">
        <f>IF( SUBTOTAL( 9, K21:K25, K35:K50, K64:K70) - SUBTOTAL( 9, K26:K32, K51:K61, K71:K78) &gt;= 0, 0, ABS( SUBTOTAL( 9, K21:K25, K35:K50, K64:K70) - SUBTOTAL( 9, K26:K32, K51:K61, K71:K78)))</f>
        <v>121205</v>
      </c>
      <c r="L84" s="61">
        <f>IF( SUBTOTAL( 9, L21:L25, L35:L50, L64:L70) - SUBTOTAL( 9, L26:L32, L51:L61, L71:L78) &gt;= 0, 0, ABS( SUBTOTAL( 9, L21:L25, L35:L50, L64:L70) - SUBTOTAL( 9, L26:L32, L51:L61, L71:L78)))</f>
        <v>0</v>
      </c>
      <c r="P84" s="27"/>
    </row>
    <row r="85" spans="2:16" ht="12.75" customHeight="1" x14ac:dyDescent="0.3">
      <c r="B85" s="47">
        <v>348</v>
      </c>
      <c r="C85" s="66" t="str">
        <f>VLOOKUP( $B85, T_Aop[], 5, 1)</f>
        <v>Ž</v>
      </c>
      <c r="D85" s="725" t="str">
        <f>VLOOKUP( $B85, T_Aop[], 6, 1)</f>
        <v>CASH AT THE BEGINNING OF REPORTING PERIOD</v>
      </c>
      <c r="E85" s="725"/>
      <c r="F85" s="725"/>
      <c r="G85" s="725"/>
      <c r="H85" s="725"/>
      <c r="I85" s="179">
        <f>VLOOKUP( $B85, T_Aop[], 4, 1)</f>
        <v>565</v>
      </c>
      <c r="J85" s="530"/>
      <c r="K85" s="161">
        <v>645941</v>
      </c>
      <c r="L85" s="162">
        <v>199893</v>
      </c>
      <c r="P85" s="27"/>
    </row>
    <row r="86" spans="2:16" ht="12.75" customHeight="1" x14ac:dyDescent="0.3">
      <c r="B86" s="47">
        <v>349</v>
      </c>
      <c r="C86" s="58" t="str">
        <f>VLOOKUP( $B86, T_Aop[], 5, 1)</f>
        <v>Z</v>
      </c>
      <c r="D86" s="724" t="str">
        <f>VLOOKUP( $B86, T_Aop[], 6, 1)</f>
        <v>FOREIGN EXCHANGE GAINS FROM TRANSLATION OF CASH</v>
      </c>
      <c r="E86" s="724"/>
      <c r="F86" s="724"/>
      <c r="G86" s="724"/>
      <c r="H86" s="724"/>
      <c r="I86" s="178">
        <f>VLOOKUP( $B86, T_Aop[], 4, 1)</f>
        <v>566</v>
      </c>
      <c r="J86" s="531"/>
      <c r="K86" s="81"/>
      <c r="L86" s="82"/>
      <c r="P86" s="27"/>
    </row>
    <row r="87" spans="2:16" ht="12.75" customHeight="1" x14ac:dyDescent="0.3">
      <c r="B87" s="47">
        <v>350</v>
      </c>
      <c r="C87" s="66" t="str">
        <f>VLOOKUP( $B87, T_Aop[], 5, 1)</f>
        <v>I</v>
      </c>
      <c r="D87" s="725" t="str">
        <f>VLOOKUP( $B87, T_Aop[], 6, 1)</f>
        <v>FOREIGN EXCHANGE LOSSES FROM TRANSLATION OF CASH</v>
      </c>
      <c r="E87" s="725"/>
      <c r="F87" s="725"/>
      <c r="G87" s="725"/>
      <c r="H87" s="725"/>
      <c r="I87" s="179">
        <f>VLOOKUP( $B87, T_Aop[], 4, 1)</f>
        <v>567</v>
      </c>
      <c r="J87" s="530"/>
      <c r="K87" s="161"/>
      <c r="L87" s="162"/>
      <c r="P87" s="27"/>
    </row>
    <row r="88" spans="2:16" ht="12.75" customHeight="1" x14ac:dyDescent="0.3">
      <c r="B88" s="47">
        <v>351</v>
      </c>
      <c r="C88" s="191" t="str">
        <f>VLOOKUP( $B88, T_Aop[], 5, 1)</f>
        <v>J</v>
      </c>
      <c r="D88" s="746" t="str">
        <f>VLOOKUP( $B88, T_Aop[], 6, 1)</f>
        <v>CASH AT THE END OF REPORTING PERIOD (565 + 563 – 564 + 566 – 567)</v>
      </c>
      <c r="E88" s="746"/>
      <c r="F88" s="746"/>
      <c r="G88" s="746"/>
      <c r="H88" s="746"/>
      <c r="I88" s="414">
        <f>VLOOKUP( $B88, T_Aop[], 4, 1)</f>
        <v>568</v>
      </c>
      <c r="J88" s="532"/>
      <c r="K88" s="415">
        <f>SUBTOTAL( 9, K21:K25, K35:K50, K64:K70,K85,K86) - SUBTOTAL( 9, K26:K32, K51:K61, K71:K78, K87)</f>
        <v>524736</v>
      </c>
      <c r="L88" s="416">
        <f>SUBTOTAL( 9, L21:L25, L35:L50, L64:L70,L85,L86) - SUBTOTAL( 9, L26:L32, L51:L61, L71:L78, L87)</f>
        <v>645941</v>
      </c>
      <c r="P88" s="27"/>
    </row>
    <row r="89" spans="2:16" ht="3" customHeight="1" x14ac:dyDescent="0.3"/>
    <row r="90" spans="2:16" ht="12" customHeight="1" x14ac:dyDescent="0.3">
      <c r="C90" s="180" t="str">
        <f>Podnozje_U</f>
        <v>In</v>
      </c>
      <c r="D90" s="419" t="str">
        <f>Podatak_U</f>
        <v>Kakmužu</v>
      </c>
      <c r="E90"/>
      <c r="F90" s="1" t="str">
        <f>Podnozje_Lice_sa_licencom</f>
        <v>Authorized Accountant:</v>
      </c>
      <c r="G90" s="1" t="str">
        <f>Podatak_Lice_sa_licencom</f>
        <v>Žarko Tripunović</v>
      </c>
      <c r="I90" s="37" t="str">
        <f>Podnozje_MP</f>
        <v>(Stamp)</v>
      </c>
      <c r="J90" s="14"/>
      <c r="K90" s="744" t="str">
        <f>Podnozje_Direktor</f>
        <v>CEO:</v>
      </c>
      <c r="L90" s="744"/>
    </row>
    <row r="91" spans="2:16" ht="21.75" customHeight="1" x14ac:dyDescent="0.3">
      <c r="C91" s="28"/>
      <c r="D91" s="127"/>
      <c r="E91"/>
      <c r="F91" s="13" t="str">
        <f>Podnozje_Broj_licence</f>
        <v>Licence No.:</v>
      </c>
      <c r="G91" s="13" t="str">
        <f>Podatak_Broj_Licence</f>
        <v>SR-1138/23</v>
      </c>
      <c r="H91" s="424"/>
      <c r="I91" s="424"/>
      <c r="J91" s="208"/>
      <c r="K91" s="745" t="str">
        <f>Podatak_Direktor</f>
        <v>Mladen Ristić</v>
      </c>
      <c r="L91" s="745"/>
    </row>
    <row r="92" spans="2:16" ht="20.25" customHeight="1" x14ac:dyDescent="0.3">
      <c r="C92" s="180" t="str">
        <f>Podnozje_Dana</f>
        <v>Date:</v>
      </c>
      <c r="D92" s="418" t="str">
        <f>Podatak_Dana</f>
        <v>21.02.2022.</v>
      </c>
      <c r="E92"/>
      <c r="F92" s="740"/>
      <c r="G92" s="740"/>
      <c r="K92" s="740"/>
      <c r="L92" s="740"/>
    </row>
    <row r="93" spans="2:16" ht="15" customHeight="1" x14ac:dyDescent="0.3">
      <c r="F93" s="40"/>
      <c r="G93" s="40"/>
      <c r="H93" s="40"/>
      <c r="I93" s="9"/>
      <c r="J93" s="37"/>
      <c r="K93" s="37"/>
    </row>
    <row r="94" spans="2:16" x14ac:dyDescent="0.3"/>
    <row r="95" spans="2:16" x14ac:dyDescent="0.3"/>
    <row r="96" spans="2:16" x14ac:dyDescent="0.3"/>
    <row r="97" x14ac:dyDescent="0.3"/>
    <row r="98" x14ac:dyDescent="0.3"/>
    <row r="99" x14ac:dyDescent="0.3"/>
    <row r="100" x14ac:dyDescent="0.3"/>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259080</xdr:colOff>
                    <xdr:row>0</xdr:row>
                    <xdr:rowOff>30480</xdr:rowOff>
                  </from>
                  <to>
                    <xdr:col>11</xdr:col>
                    <xdr:colOff>381000</xdr:colOff>
                    <xdr:row>3</xdr:row>
                    <xdr:rowOff>106680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14" activePane="bottomRight" state="frozen"/>
      <selection activeCell="S33" sqref="S33"/>
      <selection pane="topRight" activeCell="S33" sqref="S33"/>
      <selection pane="bottomLeft" activeCell="S33" sqref="S33"/>
      <selection pane="bottomRight" activeCell="K88" sqref="K88"/>
    </sheetView>
  </sheetViews>
  <sheetFormatPr defaultColWidth="0" defaultRowHeight="13.8" zeroHeight="1" x14ac:dyDescent="0.3"/>
  <cols>
    <col min="1" max="1" width="4.88671875" style="8" customWidth="1"/>
    <col min="2" max="2" width="5.33203125" style="8" hidden="1" customWidth="1"/>
    <col min="3" max="3" width="19.5546875" style="8" customWidth="1"/>
    <col min="4" max="8" width="17" style="8" customWidth="1"/>
    <col min="9" max="9" width="7.109375" style="8" customWidth="1"/>
    <col min="10" max="11" width="14.33203125" style="8" customWidth="1"/>
    <col min="12" max="12" width="14.33203125" style="8" hidden="1" customWidth="1"/>
    <col min="13" max="13" width="8.88671875" style="8" hidden="1" customWidth="1"/>
    <col min="14" max="14" width="5.6640625" style="8" customWidth="1"/>
    <col min="15" max="15" width="11.44140625" style="8" hidden="1" customWidth="1"/>
    <col min="16" max="255" width="9.109375" style="8" hidden="1" customWidth="1"/>
    <col min="256" max="16384" width="2.6640625" style="8" hidden="1"/>
  </cols>
  <sheetData>
    <row r="1" spans="3:11" x14ac:dyDescent="0.3">
      <c r="C1" s="18"/>
      <c r="D1" s="18"/>
      <c r="E1" s="18"/>
      <c r="F1" s="18"/>
      <c r="G1" s="18"/>
      <c r="H1" s="18"/>
      <c r="I1" s="18"/>
      <c r="J1" s="18"/>
      <c r="K1" s="18"/>
    </row>
    <row r="2" spans="3:11" x14ac:dyDescent="0.3">
      <c r="C2" s="18"/>
      <c r="D2" s="18"/>
      <c r="E2" s="18"/>
      <c r="F2" s="18"/>
      <c r="G2" s="18"/>
      <c r="H2" s="18"/>
      <c r="I2" s="18"/>
      <c r="J2" s="18"/>
      <c r="K2" s="18"/>
    </row>
    <row r="3" spans="3:11" x14ac:dyDescent="0.3">
      <c r="C3" s="18"/>
      <c r="D3" s="18"/>
      <c r="E3" s="18"/>
      <c r="F3" s="18"/>
      <c r="G3" s="18"/>
      <c r="H3" s="18"/>
      <c r="I3" s="18"/>
      <c r="J3" s="18"/>
      <c r="K3" s="18"/>
    </row>
    <row r="4" spans="3:11" x14ac:dyDescent="0.3">
      <c r="C4" s="18"/>
      <c r="D4" s="18"/>
      <c r="E4" s="18"/>
      <c r="F4" s="18"/>
      <c r="G4" s="18"/>
      <c r="H4" s="18"/>
      <c r="I4" s="18"/>
      <c r="J4" s="18"/>
      <c r="K4" s="18"/>
    </row>
    <row r="5" spans="3:11" ht="12.75" customHeight="1" x14ac:dyDescent="0.3">
      <c r="C5" s="644" t="str">
        <f>Zaglavlje_Naziv_preduzeca</f>
        <v>Company Name:</v>
      </c>
      <c r="D5" s="644"/>
      <c r="E5" s="644"/>
      <c r="J5" s="764" t="str">
        <f>Podatak_MB</f>
        <v>01755633</v>
      </c>
      <c r="K5" s="764"/>
    </row>
    <row r="6" spans="3:11" x14ac:dyDescent="0.3">
      <c r="C6" s="644"/>
      <c r="D6" s="644"/>
      <c r="E6" s="644"/>
      <c r="F6" s="9"/>
      <c r="K6" s="421" t="str">
        <f>Zaglavlje_MB</f>
        <v>ID Number</v>
      </c>
    </row>
    <row r="7" spans="3:11" ht="12.75" customHeight="1" x14ac:dyDescent="0.3">
      <c r="C7" s="656" t="str">
        <f>Podatak_Naziv_preduzeca</f>
        <v>TEHNOGAS-KAKMUŽ AD PETROVO</v>
      </c>
      <c r="D7" s="656"/>
      <c r="E7" s="656"/>
      <c r="F7" s="17"/>
      <c r="K7" s="392" t="str">
        <f>Podatak_Sifra_djelatnosti</f>
        <v>20.11</v>
      </c>
    </row>
    <row r="8" spans="3:11" x14ac:dyDescent="0.3">
      <c r="C8" s="125" t="str">
        <f>Zaglavlje_Sjediste</f>
        <v>Registered Office:</v>
      </c>
      <c r="D8" s="751" t="str">
        <f>Podatak_Sjediste</f>
        <v>PETROVO</v>
      </c>
      <c r="E8" s="751"/>
      <c r="F8" s="17"/>
      <c r="K8" s="421" t="str">
        <f>Zaglavlje_Sifra_djelatnosti</f>
        <v>Code of Industry</v>
      </c>
    </row>
    <row r="9" spans="3:11" x14ac:dyDescent="0.3">
      <c r="C9" s="655" t="str">
        <f>Zaglavlje_Ziro_racun</f>
        <v>Bank Account Numbers:</v>
      </c>
      <c r="D9" s="655"/>
      <c r="E9" s="655"/>
      <c r="F9" s="244"/>
      <c r="K9" s="392" t="str">
        <f>Podatak_JIB</f>
        <v>4400228130004</v>
      </c>
    </row>
    <row r="10" spans="3:11" x14ac:dyDescent="0.3">
      <c r="C10" s="657" t="str">
        <f>Podatak_Ziro_racun_1</f>
        <v>562-005-00000031-60</v>
      </c>
      <c r="D10" s="657"/>
      <c r="E10" s="657"/>
      <c r="F10" s="244"/>
      <c r="K10" s="243" t="str">
        <f>Zaglavlje_JIB</f>
        <v>Tax Number</v>
      </c>
    </row>
    <row r="11" spans="3:11" x14ac:dyDescent="0.3">
      <c r="C11" s="657" t="str">
        <f>Podatak_Ziro_racun_2</f>
        <v>551-004-00009751-20</v>
      </c>
      <c r="D11" s="657"/>
      <c r="E11" s="657"/>
      <c r="F11" s="244"/>
      <c r="K11" s="246"/>
    </row>
    <row r="12" spans="3:11" x14ac:dyDescent="0.3">
      <c r="C12" s="701" t="str">
        <f>Podatak_Ziro_racun_3</f>
        <v/>
      </c>
      <c r="D12" s="701"/>
      <c r="E12" s="701"/>
      <c r="F12" s="14"/>
    </row>
    <row r="13" spans="3:11" x14ac:dyDescent="0.3">
      <c r="C13" s="701" t="str">
        <f>Podatak_Ziro_racun_4</f>
        <v/>
      </c>
      <c r="D13" s="701"/>
      <c r="E13" s="701"/>
      <c r="F13" s="18"/>
      <c r="G13" s="18"/>
      <c r="H13" s="18"/>
      <c r="I13" s="18"/>
      <c r="J13"/>
      <c r="K13"/>
    </row>
    <row r="14" spans="3:11" ht="15.6" x14ac:dyDescent="0.3">
      <c r="C14" s="747" t="str">
        <f>IF( Id_Konsolidovani, Nazivi_bilansa_Konsolidovani_naziv &amp; LOWER( Nazivi_bilansa_Aneks), Nazivi_bilansa_Aneks)</f>
        <v>Annex</v>
      </c>
      <c r="D14" s="747"/>
      <c r="E14" s="747"/>
      <c r="F14" s="747"/>
      <c r="G14" s="747"/>
      <c r="H14" s="747"/>
      <c r="I14" s="747"/>
      <c r="J14" s="747"/>
      <c r="K14" s="747"/>
    </row>
    <row r="15" spans="3:11" x14ac:dyDescent="0.3">
      <c r="C15" s="748" t="str">
        <f>Nazivi_bilansa_Aneks1</f>
        <v>(Additional Financial Report)</v>
      </c>
      <c r="D15" s="748"/>
      <c r="E15" s="748"/>
      <c r="F15" s="748"/>
      <c r="G15" s="748"/>
      <c r="H15" s="748"/>
      <c r="I15" s="748"/>
      <c r="J15" s="748"/>
      <c r="K15" s="748"/>
    </row>
    <row r="16" spans="3:11" x14ac:dyDescent="0.3">
      <c r="C16" s="748" t="str">
        <f>Datumi_Datum_Aneks</f>
        <v>from 01.01. to 31.12.2022.</v>
      </c>
      <c r="D16" s="748"/>
      <c r="E16" s="748"/>
      <c r="F16" s="748"/>
      <c r="G16" s="748"/>
      <c r="H16" s="748"/>
      <c r="I16" s="748"/>
      <c r="J16" s="748"/>
      <c r="K16" s="748"/>
    </row>
    <row r="17" spans="2:15" x14ac:dyDescent="0.3">
      <c r="C17" s="41"/>
      <c r="D17" s="41"/>
      <c r="E17" s="41"/>
      <c r="F17" s="41"/>
      <c r="G17" s="41"/>
      <c r="H17" s="41"/>
      <c r="I17" s="41"/>
      <c r="J17" s="41"/>
      <c r="K17" s="21" t="str">
        <f>Tabele_zaglavlje_Valuta</f>
        <v>- in BAM -</v>
      </c>
    </row>
    <row r="18" spans="2:15" x14ac:dyDescent="0.3">
      <c r="C18" s="726" t="str">
        <f>Tabele_zaglavlje_Grupa_racuna</f>
        <v>Group and part of group of accounts</v>
      </c>
      <c r="D18" s="728" t="str">
        <f>Tabele_zaglavlje_Pozicija</f>
        <v>ITEM</v>
      </c>
      <c r="E18" s="728"/>
      <c r="F18" s="728"/>
      <c r="G18" s="728"/>
      <c r="H18" s="728"/>
      <c r="I18" s="737" t="str">
        <f>Tabele_zaglavlje_Oznaka_aop</f>
        <v>AOP</v>
      </c>
      <c r="J18" s="728" t="str">
        <f>Tabele_zaglavlje_Iznos</f>
        <v>Amount</v>
      </c>
      <c r="K18" s="761"/>
    </row>
    <row r="19" spans="2:15" ht="27.6" x14ac:dyDescent="0.3">
      <c r="C19" s="727"/>
      <c r="D19" s="729"/>
      <c r="E19" s="729"/>
      <c r="F19" s="729"/>
      <c r="G19" s="729"/>
      <c r="H19" s="729"/>
      <c r="I19" s="738"/>
      <c r="J19" s="42" t="str">
        <f>Tabele_zaglavlje_Tekuca_godina</f>
        <v>Current Year</v>
      </c>
      <c r="K19" s="43" t="str">
        <f>Tabele_zaglavlje_Prethodna_godina</f>
        <v>Previous Year</v>
      </c>
      <c r="O19" s="134" t="s">
        <v>490</v>
      </c>
    </row>
    <row r="20" spans="2:15" x14ac:dyDescent="0.3">
      <c r="B20" s="44" t="s">
        <v>123</v>
      </c>
      <c r="C20" s="69">
        <v>1</v>
      </c>
      <c r="D20" s="730">
        <v>2</v>
      </c>
      <c r="E20" s="730"/>
      <c r="F20" s="730"/>
      <c r="G20" s="730"/>
      <c r="H20" s="730"/>
      <c r="I20" s="70">
        <v>3</v>
      </c>
      <c r="J20" s="76">
        <v>4</v>
      </c>
      <c r="K20" s="77">
        <v>5</v>
      </c>
    </row>
    <row r="21" spans="2:15" x14ac:dyDescent="0.3">
      <c r="B21" s="47">
        <v>352</v>
      </c>
      <c r="C21" s="71" t="str">
        <f>VLOOKUP( $B21, T_Aop[], 5, 1)</f>
        <v>010</v>
      </c>
      <c r="D21" s="762" t="str">
        <f>VLOOKUP( $B21, T_Aop[], 6, 1)</f>
        <v>Investment in research and development (debit turnover without opening balance)</v>
      </c>
      <c r="E21" s="762"/>
      <c r="F21" s="762"/>
      <c r="G21" s="762"/>
      <c r="H21" s="762"/>
      <c r="I21" s="190">
        <f>VLOOKUP( $B21, T_Aop[], 4, 1)</f>
        <v>601</v>
      </c>
      <c r="J21" s="205"/>
      <c r="K21" s="206"/>
      <c r="O21" s="27"/>
    </row>
    <row r="22" spans="2:15" ht="27.6" x14ac:dyDescent="0.3">
      <c r="B22" s="47">
        <v>353</v>
      </c>
      <c r="C22" s="58" t="str">
        <f>VLOOKUP( $B22, T_Aop[], 5, 1)</f>
        <v>201, part 200</v>
      </c>
      <c r="D22" s="719" t="str">
        <f>VLOOKUP( $B22, T_Aop[], 6, 1)</f>
        <v>Customers and customers - related legal entities from Republic of Srpska (RS) (debit turnover without opening balance)</v>
      </c>
      <c r="E22" s="719"/>
      <c r="F22" s="719"/>
      <c r="G22" s="719"/>
      <c r="H22" s="719"/>
      <c r="I22" s="59">
        <f>VLOOKUP( $B22, T_Aop[], 4, 1)</f>
        <v>602</v>
      </c>
      <c r="J22" s="155">
        <v>3303159</v>
      </c>
      <c r="K22" s="156">
        <v>4433675</v>
      </c>
      <c r="O22" s="133" t="s">
        <v>313</v>
      </c>
    </row>
    <row r="23" spans="2:15" ht="25.5" customHeight="1" x14ac:dyDescent="0.3">
      <c r="B23" s="47">
        <v>354</v>
      </c>
      <c r="C23" s="62" t="str">
        <f>VLOOKUP( $B23, T_Aop[], 5, 1)</f>
        <v>202, part 200</v>
      </c>
      <c r="D23" s="755" t="str">
        <f>VLOOKUP( $B23, T_Aop[], 6, 1)</f>
        <v>Customers and customers - related legal entities from Federation of BiH (FBiH) (debit turnover without opening balance)</v>
      </c>
      <c r="E23" s="756"/>
      <c r="F23" s="756"/>
      <c r="G23" s="756"/>
      <c r="H23" s="757"/>
      <c r="I23" s="75">
        <f>VLOOKUP( $B23, T_Aop[], 4, 1)</f>
        <v>603</v>
      </c>
      <c r="J23" s="157">
        <v>269217</v>
      </c>
      <c r="K23" s="158">
        <v>295701</v>
      </c>
      <c r="O23" s="133" t="s">
        <v>313</v>
      </c>
    </row>
    <row r="24" spans="2:15" ht="25.5" customHeight="1" x14ac:dyDescent="0.3">
      <c r="B24" s="47">
        <v>355</v>
      </c>
      <c r="C24" s="58" t="str">
        <f>VLOOKUP( $B24, T_Aop[], 5, 1)</f>
        <v>203, part 200</v>
      </c>
      <c r="D24" s="758" t="str">
        <f>VLOOKUP( $B24, T_Aop[], 6, 1)</f>
        <v>Customers and customers - related legal entities from The Brčko District (BD) (debit turnover without opening balance)</v>
      </c>
      <c r="E24" s="759"/>
      <c r="F24" s="759"/>
      <c r="G24" s="759"/>
      <c r="H24" s="760"/>
      <c r="I24" s="59">
        <f>VLOOKUP( $B24, T_Aop[], 4, 1)</f>
        <v>604</v>
      </c>
      <c r="J24" s="155"/>
      <c r="K24" s="156">
        <v>552</v>
      </c>
      <c r="O24" s="133" t="s">
        <v>313</v>
      </c>
    </row>
    <row r="25" spans="2:15" ht="27.6" x14ac:dyDescent="0.3">
      <c r="B25" s="47">
        <v>356</v>
      </c>
      <c r="C25" s="62" t="str">
        <f>VLOOKUP( $B25, T_Aop[], 5, 1)</f>
        <v>432, part 431</v>
      </c>
      <c r="D25" s="755" t="str">
        <f>VLOOKUP( $B25, T_Aop[], 6, 1)</f>
        <v>Suppliers and suppliers - related legal entities from RS (credit turnover without opening balance)</v>
      </c>
      <c r="E25" s="756"/>
      <c r="F25" s="756"/>
      <c r="G25" s="756"/>
      <c r="H25" s="757"/>
      <c r="I25" s="75">
        <f>VLOOKUP( $B25, T_Aop[], 4, 1)</f>
        <v>605</v>
      </c>
      <c r="J25" s="157">
        <v>2249767</v>
      </c>
      <c r="K25" s="158">
        <v>2540646</v>
      </c>
      <c r="O25" s="133" t="s">
        <v>313</v>
      </c>
    </row>
    <row r="26" spans="2:15" ht="27.6" x14ac:dyDescent="0.3">
      <c r="B26" s="47">
        <v>357</v>
      </c>
      <c r="C26" s="58" t="str">
        <f>VLOOKUP( $B26, T_Aop[], 5, 1)</f>
        <v>433, part 431</v>
      </c>
      <c r="D26" s="758" t="str">
        <f>VLOOKUP( $B26, T_Aop[], 6, 1)</f>
        <v>Suppliers and suppliers - related legal entities from FBiH (credit turnover without opening balance)</v>
      </c>
      <c r="E26" s="759"/>
      <c r="F26" s="759"/>
      <c r="G26" s="759"/>
      <c r="H26" s="760"/>
      <c r="I26" s="59">
        <f>VLOOKUP( $B26, T_Aop[], 4, 1)</f>
        <v>606</v>
      </c>
      <c r="J26" s="155">
        <v>199775</v>
      </c>
      <c r="K26" s="156">
        <v>199511</v>
      </c>
      <c r="O26" s="133" t="s">
        <v>313</v>
      </c>
    </row>
    <row r="27" spans="2:15" ht="27.6" x14ac:dyDescent="0.3">
      <c r="B27" s="47">
        <v>358</v>
      </c>
      <c r="C27" s="62" t="str">
        <f>VLOOKUP( $B27, T_Aop[], 5, 1)</f>
        <v>434, part 431</v>
      </c>
      <c r="D27" s="755" t="str">
        <f>VLOOKUP( $B27, T_Aop[], 6, 1)</f>
        <v>Suppliers and suppliers - related legal entities from BD (credit turnover without opening balance)</v>
      </c>
      <c r="E27" s="756"/>
      <c r="F27" s="756"/>
      <c r="G27" s="756"/>
      <c r="H27" s="757"/>
      <c r="I27" s="75">
        <f>VLOOKUP( $B27, T_Aop[], 4, 1)</f>
        <v>607</v>
      </c>
      <c r="J27" s="157"/>
      <c r="K27" s="158">
        <v>1876</v>
      </c>
      <c r="O27" s="133" t="s">
        <v>313</v>
      </c>
    </row>
    <row r="28" spans="2:15" ht="25.5" customHeight="1" x14ac:dyDescent="0.3">
      <c r="B28" s="47">
        <v>359</v>
      </c>
      <c r="C28" s="58" t="str">
        <f>VLOOKUP( $B28, T_Aop[], 5, 1)</f>
        <v>601, part 600, part 605</v>
      </c>
      <c r="D28" s="758" t="str">
        <f>VLOOKUP( $B28, T_Aop[], 6, 1)</f>
        <v>Income from sales of merchandise goods in RS and income from sales of merchandise goods to related legal entities in RS</v>
      </c>
      <c r="E28" s="759"/>
      <c r="F28" s="759"/>
      <c r="G28" s="759"/>
      <c r="H28" s="760"/>
      <c r="I28" s="59">
        <f>VLOOKUP( $B28, T_Aop[], 4, 1)</f>
        <v>608</v>
      </c>
      <c r="J28" s="155">
        <v>2039144</v>
      </c>
      <c r="K28" s="156">
        <v>3177582</v>
      </c>
      <c r="O28" s="133" t="s">
        <v>313</v>
      </c>
    </row>
    <row r="29" spans="2:15" ht="25.5" customHeight="1" x14ac:dyDescent="0.3">
      <c r="B29" s="47">
        <v>360</v>
      </c>
      <c r="C29" s="62" t="str">
        <f>VLOOKUP( $B29, T_Aop[], 5, 1)</f>
        <v>602, part 600, part 605</v>
      </c>
      <c r="D29" s="755" t="str">
        <f>VLOOKUP( $B29, T_Aop[], 6, 1)</f>
        <v>Income from sales of merchandise goods in FBiH and income from sales of merchandise goods to related legal entities in FBiH</v>
      </c>
      <c r="E29" s="756"/>
      <c r="F29" s="756"/>
      <c r="G29" s="756"/>
      <c r="H29" s="757"/>
      <c r="I29" s="75">
        <f>VLOOKUP( $B29, T_Aop[], 4, 1)</f>
        <v>609</v>
      </c>
      <c r="J29" s="157">
        <v>167210</v>
      </c>
      <c r="K29" s="158">
        <v>171967</v>
      </c>
      <c r="O29" s="133" t="s">
        <v>313</v>
      </c>
    </row>
    <row r="30" spans="2:15" ht="25.5" customHeight="1" x14ac:dyDescent="0.3">
      <c r="B30" s="47">
        <v>361</v>
      </c>
      <c r="C30" s="58" t="str">
        <f>VLOOKUP( $B30, T_Aop[], 5, 1)</f>
        <v>603, part 600, part 605</v>
      </c>
      <c r="D30" s="758" t="str">
        <f>VLOOKUP( $B30, T_Aop[], 6, 1)</f>
        <v>Income from sales of merchandise goods in BD and income from sales of merchandise goods to related legal entities in BD</v>
      </c>
      <c r="E30" s="759"/>
      <c r="F30" s="759"/>
      <c r="G30" s="759"/>
      <c r="H30" s="760"/>
      <c r="I30" s="59">
        <f>VLOOKUP( $B30, T_Aop[], 4, 1)</f>
        <v>610</v>
      </c>
      <c r="J30" s="155">
        <v>0</v>
      </c>
      <c r="K30" s="156">
        <v>472</v>
      </c>
      <c r="O30" s="133" t="s">
        <v>313</v>
      </c>
    </row>
    <row r="31" spans="2:15" ht="25.5" customHeight="1" x14ac:dyDescent="0.3">
      <c r="B31" s="47">
        <v>362</v>
      </c>
      <c r="C31" s="62" t="str">
        <f>VLOOKUP( $B31, T_Aop[], 5, 1)</f>
        <v>611, part 610, part 615</v>
      </c>
      <c r="D31" s="755" t="str">
        <f>VLOOKUP( $B31, T_Aop[], 6, 1)</f>
        <v>Income from sales of products in RS and income from sales of products to related legal entities in RS</v>
      </c>
      <c r="E31" s="756"/>
      <c r="F31" s="756"/>
      <c r="G31" s="756"/>
      <c r="H31" s="757"/>
      <c r="I31" s="75">
        <f>VLOOKUP( $B31, T_Aop[], 4, 1)</f>
        <v>611</v>
      </c>
      <c r="J31" s="157">
        <v>781736</v>
      </c>
      <c r="K31" s="158">
        <v>608317</v>
      </c>
      <c r="O31"/>
    </row>
    <row r="32" spans="2:15" ht="25.5" customHeight="1" x14ac:dyDescent="0.3">
      <c r="B32" s="47">
        <v>363</v>
      </c>
      <c r="C32" s="58" t="str">
        <f>VLOOKUP( $B32, T_Aop[], 5, 1)</f>
        <v>612, part 610, part 615</v>
      </c>
      <c r="D32" s="758" t="str">
        <f>VLOOKUP( $B32, T_Aop[], 6, 1)</f>
        <v>Income from sales of products in FBiH and income from sales of products to related legal entities in FBiH</v>
      </c>
      <c r="E32" s="759"/>
      <c r="F32" s="759"/>
      <c r="G32" s="759"/>
      <c r="H32" s="760"/>
      <c r="I32" s="59">
        <f>VLOOKUP( $B32, T_Aop[], 4, 1)</f>
        <v>612</v>
      </c>
      <c r="J32" s="155">
        <v>55972</v>
      </c>
      <c r="K32" s="156">
        <v>62366</v>
      </c>
      <c r="O32"/>
    </row>
    <row r="33" spans="2:15" ht="25.5" customHeight="1" x14ac:dyDescent="0.3">
      <c r="B33" s="47">
        <v>364</v>
      </c>
      <c r="C33" s="62" t="str">
        <f>VLOOKUP( $B33, T_Aop[], 5, 1)</f>
        <v>613, part 610, part 615</v>
      </c>
      <c r="D33" s="755" t="str">
        <f>VLOOKUP( $B33, T_Aop[], 6, 1)</f>
        <v>Income from sales of products in BD and income from sales of products to related legal entities in BD</v>
      </c>
      <c r="E33" s="756"/>
      <c r="F33" s="756"/>
      <c r="G33" s="756"/>
      <c r="H33" s="757"/>
      <c r="I33" s="75">
        <f>VLOOKUP( $B33, T_Aop[], 4, 1)</f>
        <v>613</v>
      </c>
      <c r="J33" s="157"/>
      <c r="K33" s="158"/>
      <c r="O33" s="133" t="s">
        <v>313</v>
      </c>
    </row>
    <row r="34" spans="2:15" ht="25.5" customHeight="1" x14ac:dyDescent="0.3">
      <c r="B34" s="47">
        <v>365</v>
      </c>
      <c r="C34" s="58" t="str">
        <f>VLOOKUP( $B34, T_Aop[], 5, 1)</f>
        <v>621, part 620, part 625</v>
      </c>
      <c r="D34" s="758" t="str">
        <f>VLOOKUP( $B34, T_Aop[], 6, 1)</f>
        <v>Income from sales of services in RS and income from sales of services  to related legal entities in RS</v>
      </c>
      <c r="E34" s="759"/>
      <c r="F34" s="759"/>
      <c r="G34" s="759"/>
      <c r="H34" s="760"/>
      <c r="I34" s="59">
        <f>VLOOKUP( $B34, T_Aop[], 4, 1)</f>
        <v>614</v>
      </c>
      <c r="J34" s="155">
        <v>561</v>
      </c>
      <c r="K34" s="156">
        <v>659</v>
      </c>
      <c r="O34" s="133" t="s">
        <v>313</v>
      </c>
    </row>
    <row r="35" spans="2:15" ht="25.5" customHeight="1" x14ac:dyDescent="0.3">
      <c r="B35" s="47">
        <v>366</v>
      </c>
      <c r="C35" s="62" t="str">
        <f>VLOOKUP( $B35, T_Aop[], 5, 1)</f>
        <v>622, part 620, part 625</v>
      </c>
      <c r="D35" s="755" t="str">
        <f>VLOOKUP( $B35, T_Aop[], 6, 1)</f>
        <v>Income from sales of services in FBIH and income from sales of services  to related legal entities in FBIH</v>
      </c>
      <c r="E35" s="756"/>
      <c r="F35" s="756"/>
      <c r="G35" s="756"/>
      <c r="H35" s="757"/>
      <c r="I35" s="75">
        <f>VLOOKUP( $B35, T_Aop[], 4, 1)</f>
        <v>615</v>
      </c>
      <c r="J35" s="157"/>
      <c r="K35" s="158"/>
      <c r="O35" s="133" t="s">
        <v>313</v>
      </c>
    </row>
    <row r="36" spans="2:15" ht="25.5" customHeight="1" x14ac:dyDescent="0.3">
      <c r="B36" s="47">
        <v>367</v>
      </c>
      <c r="C36" s="58" t="str">
        <f>VLOOKUP( $B36, T_Aop[], 5, 1)</f>
        <v>623, part 620, part 625</v>
      </c>
      <c r="D36" s="758" t="str">
        <f>VLOOKUP( $B36, T_Aop[], 6, 1)</f>
        <v>Income from sales of services in BD and income from sales of services  to related legal entities in BD</v>
      </c>
      <c r="E36" s="759"/>
      <c r="F36" s="759"/>
      <c r="G36" s="759"/>
      <c r="H36" s="760"/>
      <c r="I36" s="59">
        <f>VLOOKUP( $B36, T_Aop[], 4, 1)</f>
        <v>616</v>
      </c>
      <c r="J36" s="155"/>
      <c r="K36" s="156"/>
      <c r="O36" s="27"/>
    </row>
    <row r="37" spans="2:15" ht="12.75" customHeight="1" x14ac:dyDescent="0.3">
      <c r="B37" s="47">
        <v>368</v>
      </c>
      <c r="C37" s="188">
        <f>VLOOKUP( $B37, T_Aop[], 5, 1)</f>
        <v>65</v>
      </c>
      <c r="D37" s="692" t="str">
        <f>VLOOKUP( $B37, T_Aop[], 6, 1)</f>
        <v>OTHER OPERATING INCOME (618 + 621 + 622 + 623 + 624 + 625 + 626 + 627 + 628)</v>
      </c>
      <c r="E37" s="693"/>
      <c r="F37" s="693"/>
      <c r="G37" s="693"/>
      <c r="H37" s="694"/>
      <c r="I37" s="189">
        <f>VLOOKUP( $B37, T_Aop[], 4, 1)</f>
        <v>617</v>
      </c>
      <c r="J37" s="64">
        <f>SUBTOTAL( 9, J38, J41:J48)</f>
        <v>39491</v>
      </c>
      <c r="K37" s="65">
        <f>SUBTOTAL( 9, K38, K41:K48)</f>
        <v>8400</v>
      </c>
      <c r="O37" s="27"/>
    </row>
    <row r="38" spans="2:15" ht="12.75" customHeight="1" x14ac:dyDescent="0.3">
      <c r="B38" s="47">
        <v>369</v>
      </c>
      <c r="C38" s="58">
        <f>VLOOKUP( $B38, T_Aop[], 5, 1)</f>
        <v>650</v>
      </c>
      <c r="D38" s="758" t="str">
        <f>VLOOKUP( $B38, T_Aop[], 6, 1)</f>
        <v xml:space="preserve">  a) Income from premiums, subsidies, grants, vacation allowances, compensations and tax returns</v>
      </c>
      <c r="E38" s="759"/>
      <c r="F38" s="759"/>
      <c r="G38" s="759"/>
      <c r="H38" s="760"/>
      <c r="I38" s="59">
        <f>VLOOKUP( $B38, T_Aop[], 4, 1)</f>
        <v>618</v>
      </c>
      <c r="J38" s="155">
        <v>31000</v>
      </c>
      <c r="K38" s="156"/>
      <c r="O38" s="27"/>
    </row>
    <row r="39" spans="2:15" ht="25.5" customHeight="1" x14ac:dyDescent="0.3">
      <c r="B39" s="47">
        <v>370</v>
      </c>
      <c r="C39" s="62" t="str">
        <f>VLOOKUP( $B39, T_Aop[], 5, 1)</f>
        <v>part 650</v>
      </c>
      <c r="D39" s="755" t="str">
        <f>VLOOKUP( $B39, T_Aop[], 6, 1)</f>
        <v xml:space="preserve">    Of which: income from product subsidies1 (subsidies that could be displayed per product unit, e.g. traveler ticket, flour, bread, milk, etc.)</v>
      </c>
      <c r="E39" s="756"/>
      <c r="F39" s="756"/>
      <c r="G39" s="756"/>
      <c r="H39" s="757"/>
      <c r="I39" s="75">
        <f>VLOOKUP( $B39, T_Aop[], 4, 1)</f>
        <v>619</v>
      </c>
      <c r="J39" s="157"/>
      <c r="K39" s="158"/>
      <c r="O39" s="27"/>
    </row>
    <row r="40" spans="2:15" ht="25.5" customHeight="1" x14ac:dyDescent="0.3">
      <c r="B40" s="47">
        <v>371</v>
      </c>
      <c r="C40" s="58" t="str">
        <f>VLOOKUP( $B40, T_Aop[], 5, 1)</f>
        <v>part 650</v>
      </c>
      <c r="D40" s="758" t="str">
        <f>VLOOKUP( $B40, T_Aop[], 6, 1)</f>
        <v xml:space="preserve">    Of which: income from subsidies given for production2 (hiring, salary, interest rate, reduction of pollution, etc.)</v>
      </c>
      <c r="E40" s="759"/>
      <c r="F40" s="759"/>
      <c r="G40" s="759"/>
      <c r="H40" s="760"/>
      <c r="I40" s="59">
        <f>VLOOKUP( $B40, T_Aop[], 4, 1)</f>
        <v>620</v>
      </c>
      <c r="J40" s="155">
        <v>31000</v>
      </c>
      <c r="K40" s="156"/>
      <c r="O40" s="27"/>
    </row>
    <row r="41" spans="2:15" ht="12.75" customHeight="1" x14ac:dyDescent="0.3">
      <c r="B41" s="47">
        <v>372</v>
      </c>
      <c r="C41" s="62">
        <f>VLOOKUP( $B41, T_Aop[], 5, 1)</f>
        <v>651</v>
      </c>
      <c r="D41" s="755" t="str">
        <f>VLOOKUP( $B41, T_Aop[], 6, 1)</f>
        <v xml:space="preserve">  b) Income from rent</v>
      </c>
      <c r="E41" s="756"/>
      <c r="F41" s="756"/>
      <c r="G41" s="756"/>
      <c r="H41" s="757"/>
      <c r="I41" s="75">
        <f>VLOOKUP( $B41, T_Aop[], 4, 1)</f>
        <v>621</v>
      </c>
      <c r="J41" s="157">
        <v>8491</v>
      </c>
      <c r="K41" s="158">
        <v>8400</v>
      </c>
      <c r="O41" s="133" t="s">
        <v>313</v>
      </c>
    </row>
    <row r="42" spans="2:15" ht="12.75" customHeight="1" x14ac:dyDescent="0.3">
      <c r="B42" s="47">
        <v>373</v>
      </c>
      <c r="C42" s="58">
        <f>VLOOKUP( $B42, T_Aop[], 5, 1)</f>
        <v>652</v>
      </c>
      <c r="D42" s="758" t="str">
        <f>VLOOKUP( $B42, T_Aop[], 6, 1)</f>
        <v xml:space="preserve">  c) Income from donations</v>
      </c>
      <c r="E42" s="759"/>
      <c r="F42" s="759"/>
      <c r="G42" s="759"/>
      <c r="H42" s="760"/>
      <c r="I42" s="59">
        <f>VLOOKUP( $B42, T_Aop[], 4, 1)</f>
        <v>622</v>
      </c>
      <c r="J42" s="155"/>
      <c r="K42" s="156"/>
      <c r="O42" s="133" t="s">
        <v>313</v>
      </c>
    </row>
    <row r="43" spans="2:15" ht="12.75" customHeight="1" x14ac:dyDescent="0.3">
      <c r="B43" s="47">
        <v>374</v>
      </c>
      <c r="C43" s="62">
        <f>VLOOKUP( $B43, T_Aop[], 5, 1)</f>
        <v>653</v>
      </c>
      <c r="D43" s="755" t="str">
        <f>VLOOKUP( $B43, T_Aop[], 6, 1)</f>
        <v xml:space="preserve">  d) Income from membership fees</v>
      </c>
      <c r="E43" s="756"/>
      <c r="F43" s="756"/>
      <c r="G43" s="756"/>
      <c r="H43" s="757"/>
      <c r="I43" s="75">
        <f>VLOOKUP( $B43, T_Aop[], 4, 1)</f>
        <v>623</v>
      </c>
      <c r="J43" s="157"/>
      <c r="K43" s="158"/>
      <c r="O43" s="27"/>
    </row>
    <row r="44" spans="2:15" ht="12.75" customHeight="1" x14ac:dyDescent="0.3">
      <c r="B44" s="47">
        <v>375</v>
      </c>
      <c r="C44" s="58">
        <f>VLOOKUP( $B44, T_Aop[], 5, 1)</f>
        <v>654</v>
      </c>
      <c r="D44" s="758" t="str">
        <f>VLOOKUP( $B44, T_Aop[], 6, 1)</f>
        <v xml:space="preserve">  e) Income from bonuses and license rights</v>
      </c>
      <c r="E44" s="759"/>
      <c r="F44" s="759"/>
      <c r="G44" s="759"/>
      <c r="H44" s="760"/>
      <c r="I44" s="59">
        <f>VLOOKUP( $B44, T_Aop[], 4, 1)</f>
        <v>624</v>
      </c>
      <c r="J44" s="155"/>
      <c r="K44" s="156"/>
      <c r="O44" s="27"/>
    </row>
    <row r="45" spans="2:15" ht="12.75" customHeight="1" x14ac:dyDescent="0.3">
      <c r="B45" s="47">
        <v>376</v>
      </c>
      <c r="C45" s="62">
        <f>VLOOKUP( $B45, T_Aop[], 5, 1)</f>
        <v>655</v>
      </c>
      <c r="D45" s="755" t="str">
        <f>VLOOKUP( $B45, T_Aop[], 6, 1)</f>
        <v xml:space="preserve">  f) Income from dedicated funding sources (budgets, funds, etc.)</v>
      </c>
      <c r="E45" s="756"/>
      <c r="F45" s="756"/>
      <c r="G45" s="756"/>
      <c r="H45" s="757"/>
      <c r="I45" s="75">
        <f>VLOOKUP( $B45, T_Aop[], 4, 1)</f>
        <v>625</v>
      </c>
      <c r="J45" s="157"/>
      <c r="K45" s="158"/>
      <c r="O45" s="27"/>
    </row>
    <row r="46" spans="2:15" ht="12.75" customHeight="1" x14ac:dyDescent="0.3">
      <c r="B46" s="47">
        <v>377</v>
      </c>
      <c r="C46" s="58" t="str">
        <f>VLOOKUP( $B46, T_Aop[], 5, 1)</f>
        <v>656</v>
      </c>
      <c r="D46" s="758" t="str">
        <f>VLOOKUP( $B46, T_Aop[], 6, 1)</f>
        <v xml:space="preserve">  g) Dividend income</v>
      </c>
      <c r="E46" s="759"/>
      <c r="F46" s="759"/>
      <c r="G46" s="759"/>
      <c r="H46" s="760"/>
      <c r="I46" s="59">
        <f>VLOOKUP( $B46, T_Aop[], 4, 1)</f>
        <v>626</v>
      </c>
      <c r="J46" s="155"/>
      <c r="K46" s="156"/>
      <c r="O46" s="27"/>
    </row>
    <row r="47" spans="2:15" ht="12.75" customHeight="1" x14ac:dyDescent="0.3">
      <c r="B47" s="47">
        <v>378</v>
      </c>
      <c r="C47" s="62" t="str">
        <f>VLOOKUP( $B47, T_Aop[], 5, 1)</f>
        <v>657</v>
      </c>
      <c r="D47" s="755" t="str">
        <f>VLOOKUP( $B47, T_Aop[], 6, 1)</f>
        <v xml:space="preserve">  h) Revenues from the activation or consumption of goods, finished products or services</v>
      </c>
      <c r="E47" s="756"/>
      <c r="F47" s="756"/>
      <c r="G47" s="756"/>
      <c r="H47" s="757"/>
      <c r="I47" s="75">
        <f>VLOOKUP( $B47, T_Aop[], 4, 1)</f>
        <v>627</v>
      </c>
      <c r="J47" s="157"/>
      <c r="K47" s="158"/>
      <c r="O47" s="27"/>
    </row>
    <row r="48" spans="2:15" ht="12.75" customHeight="1" x14ac:dyDescent="0.3">
      <c r="B48" s="47">
        <v>379</v>
      </c>
      <c r="C48" s="58">
        <f>VLOOKUP( $B48, T_Aop[], 5, 1)</f>
        <v>659</v>
      </c>
      <c r="D48" s="758" t="str">
        <f>VLOOKUP( $B48, T_Aop[], 6, 1)</f>
        <v xml:space="preserve">  i) Other operating incomes from other sources</v>
      </c>
      <c r="E48" s="759"/>
      <c r="F48" s="759"/>
      <c r="G48" s="759"/>
      <c r="H48" s="760"/>
      <c r="I48" s="59">
        <f>VLOOKUP( $B48, T_Aop[], 4, 1)</f>
        <v>628</v>
      </c>
      <c r="J48" s="155"/>
      <c r="K48" s="156"/>
      <c r="O48" s="27"/>
    </row>
    <row r="49" spans="2:15" ht="12.75" customHeight="1" x14ac:dyDescent="0.3">
      <c r="B49" s="47">
        <v>380</v>
      </c>
      <c r="C49" s="188" t="str">
        <f>VLOOKUP( $B49, T_Aop[], 5, 1)</f>
        <v>66 + 67</v>
      </c>
      <c r="D49" s="692" t="str">
        <f>VLOOKUP( $B49, T_Aop[], 6, 1)</f>
        <v>FINANCIAL AND OTHER INCOME</v>
      </c>
      <c r="E49" s="693"/>
      <c r="F49" s="693"/>
      <c r="G49" s="693"/>
      <c r="H49" s="694"/>
      <c r="I49" s="189">
        <f>VLOOKUP( $B49, T_Aop[], 4, 1)</f>
        <v>629</v>
      </c>
      <c r="J49" s="203">
        <v>26595</v>
      </c>
      <c r="K49" s="204">
        <v>14858</v>
      </c>
      <c r="O49" s="27"/>
    </row>
    <row r="50" spans="2:15" ht="12.75" customHeight="1" x14ac:dyDescent="0.3">
      <c r="B50" s="47">
        <v>381</v>
      </c>
      <c r="C50" s="58" t="str">
        <f>VLOOKUP( $B50, T_Aop[], 5, 1)</f>
        <v>part 670</v>
      </c>
      <c r="D50" s="758" t="str">
        <f>VLOOKUP( $B50, T_Aop[], 6, 1)</f>
        <v xml:space="preserve">    Of which: gains from the sale of real estate, plant and equipment</v>
      </c>
      <c r="E50" s="759"/>
      <c r="F50" s="759"/>
      <c r="G50" s="759"/>
      <c r="H50" s="760"/>
      <c r="I50" s="59">
        <f>VLOOKUP( $B50, T_Aop[], 4, 1)</f>
        <v>630</v>
      </c>
      <c r="J50" s="155">
        <v>200</v>
      </c>
      <c r="K50" s="156">
        <v>5500</v>
      </c>
      <c r="O50" s="27"/>
    </row>
    <row r="51" spans="2:15" ht="12.75" customHeight="1" x14ac:dyDescent="0.3">
      <c r="B51" s="47">
        <v>382</v>
      </c>
      <c r="C51" s="62" t="str">
        <f>VLOOKUP( $B51, T_Aop[], 5, 1)</f>
        <v>678</v>
      </c>
      <c r="D51" s="755" t="str">
        <f>VLOOKUP( $B51, T_Aop[], 6, 1)</f>
        <v xml:space="preserve">  Gains from derivative financial instruments</v>
      </c>
      <c r="E51" s="756"/>
      <c r="F51" s="756"/>
      <c r="G51" s="756"/>
      <c r="H51" s="757"/>
      <c r="I51" s="75">
        <f>VLOOKUP( $B51, T_Aop[], 4, 1)</f>
        <v>631</v>
      </c>
      <c r="J51" s="157"/>
      <c r="K51" s="158">
        <v>3534</v>
      </c>
      <c r="O51" s="54"/>
    </row>
    <row r="52" spans="2:15" ht="12.75" customHeight="1" x14ac:dyDescent="0.3">
      <c r="B52" s="47">
        <v>383</v>
      </c>
      <c r="C52" s="187">
        <f>VLOOKUP( $B52, T_Aop[], 5, 1)</f>
        <v>52</v>
      </c>
      <c r="D52" s="689" t="str">
        <f>VLOOKUP( $B52, T_Aop[], 6, 1)</f>
        <v>COSTS OF SALARIES, WAGE COMPENSATION AND OTHER PERSONAL INCOME</v>
      </c>
      <c r="E52" s="690"/>
      <c r="F52" s="690"/>
      <c r="G52" s="690"/>
      <c r="H52" s="691"/>
      <c r="I52" s="178">
        <f>VLOOKUP( $B52, T_Aop[], 4, 1)</f>
        <v>632</v>
      </c>
      <c r="J52" s="81">
        <v>496344</v>
      </c>
      <c r="K52" s="82">
        <v>445670</v>
      </c>
      <c r="O52" s="27"/>
    </row>
    <row r="53" spans="2:15" ht="12.75" customHeight="1" x14ac:dyDescent="0.3">
      <c r="B53" s="47">
        <v>384</v>
      </c>
      <c r="C53" s="62" t="str">
        <f>VLOOKUP( $B53, T_Aop[], 5, 1)</f>
        <v>522 + 523</v>
      </c>
      <c r="D53" s="755" t="str">
        <f>VLOOKUP( $B53, T_Aop[], 6, 1)</f>
        <v xml:space="preserve">  Gross salaries to the members of the Management, Supervisory, the Board of Auditors and others.</v>
      </c>
      <c r="E53" s="756"/>
      <c r="F53" s="756"/>
      <c r="G53" s="756"/>
      <c r="H53" s="757"/>
      <c r="I53" s="75">
        <f>VLOOKUP( $B53, T_Aop[], 4, 1)</f>
        <v>633</v>
      </c>
      <c r="J53" s="157"/>
      <c r="K53" s="204"/>
      <c r="O53" s="27"/>
    </row>
    <row r="54" spans="2:15" ht="12.75" customHeight="1" x14ac:dyDescent="0.3">
      <c r="B54" s="47">
        <v>385</v>
      </c>
      <c r="C54" s="58">
        <f>VLOOKUP( $B54, T_Aop[], 5, 1)</f>
        <v>525</v>
      </c>
      <c r="D54" s="758" t="str">
        <f>VLOOKUP( $B54, T_Aop[], 6, 1)</f>
        <v xml:space="preserve">  Employee expenses on a business trip</v>
      </c>
      <c r="E54" s="759"/>
      <c r="F54" s="759"/>
      <c r="G54" s="759"/>
      <c r="H54" s="760"/>
      <c r="I54" s="59">
        <f>VLOOKUP( $B54, T_Aop[], 4, 1)</f>
        <v>634</v>
      </c>
      <c r="J54" s="155">
        <v>17025</v>
      </c>
      <c r="K54" s="156">
        <v>12858</v>
      </c>
      <c r="O54" s="27"/>
    </row>
    <row r="55" spans="2:15" ht="12.75" customHeight="1" x14ac:dyDescent="0.3">
      <c r="B55" s="47">
        <v>386</v>
      </c>
      <c r="C55" s="62" t="str">
        <f>VLOOKUP( $B55, T_Aop[], 5, 1)</f>
        <v>part 525</v>
      </c>
      <c r="D55" s="755" t="str">
        <f>VLOOKUP( $B55, T_Aop[], 6, 1)</f>
        <v xml:space="preserve">    Of which: expenses of allowances for business trip</v>
      </c>
      <c r="E55" s="756"/>
      <c r="F55" s="756"/>
      <c r="G55" s="756"/>
      <c r="H55" s="757"/>
      <c r="I55" s="75">
        <f>VLOOKUP( $B55, T_Aop[], 4, 1)</f>
        <v>635</v>
      </c>
      <c r="J55" s="157">
        <v>17025</v>
      </c>
      <c r="K55" s="158">
        <v>12858</v>
      </c>
      <c r="O55" s="27"/>
    </row>
    <row r="56" spans="2:15" ht="12.75" customHeight="1" x14ac:dyDescent="0.3">
      <c r="B56" s="47">
        <v>387</v>
      </c>
      <c r="C56" s="187">
        <f>VLOOKUP( $B56, T_Aop[], 5, 1)</f>
        <v>53</v>
      </c>
      <c r="D56" s="689" t="str">
        <f>VLOOKUP( $B56, T_Aop[], 6, 1)</f>
        <v>EXPENSES OF PRODUCTION SERVICES (637 + 638 + 639 + 640 + 641 + 642 + 643 + 644)</v>
      </c>
      <c r="E56" s="690"/>
      <c r="F56" s="690"/>
      <c r="G56" s="690"/>
      <c r="H56" s="691"/>
      <c r="I56" s="178">
        <f>VLOOKUP( $B56, T_Aop[], 4, 1)</f>
        <v>636</v>
      </c>
      <c r="J56" s="560">
        <f>SUBTOTAL( 9, J57:J64)</f>
        <v>242320</v>
      </c>
      <c r="K56" s="493">
        <f>SUBTOTAL( 9, K57:K64)</f>
        <v>226760</v>
      </c>
      <c r="O56" s="27"/>
    </row>
    <row r="57" spans="2:15" ht="12.75" customHeight="1" x14ac:dyDescent="0.3">
      <c r="B57" s="47">
        <v>388</v>
      </c>
      <c r="C57" s="62">
        <f>VLOOKUP( $B57, T_Aop[], 5, 1)</f>
        <v>530</v>
      </c>
      <c r="D57" s="755" t="str">
        <f>VLOOKUP( $B57, T_Aop[], 6, 1)</f>
        <v xml:space="preserve">  a) Expenses of services on the productions of product</v>
      </c>
      <c r="E57" s="756"/>
      <c r="F57" s="756"/>
      <c r="G57" s="756"/>
      <c r="H57" s="757"/>
      <c r="I57" s="75">
        <f>VLOOKUP( $B57, T_Aop[], 4, 1)</f>
        <v>637</v>
      </c>
      <c r="J57" s="157">
        <v>0</v>
      </c>
      <c r="K57" s="158"/>
      <c r="O57" s="27"/>
    </row>
    <row r="58" spans="2:15" x14ac:dyDescent="0.3">
      <c r="B58" s="47">
        <v>389</v>
      </c>
      <c r="C58" s="58">
        <f>VLOOKUP( $B58, T_Aop[], 5, 1)</f>
        <v>531</v>
      </c>
      <c r="D58" s="758" t="str">
        <f>VLOOKUP( $B58, T_Aop[], 6, 1)</f>
        <v xml:space="preserve">  b) Transportation services expense</v>
      </c>
      <c r="E58" s="759"/>
      <c r="F58" s="759"/>
      <c r="G58" s="759"/>
      <c r="H58" s="760"/>
      <c r="I58" s="59">
        <f>VLOOKUP( $B58, T_Aop[], 4, 1)</f>
        <v>638</v>
      </c>
      <c r="J58" s="155">
        <v>34322</v>
      </c>
      <c r="K58" s="156">
        <v>56689</v>
      </c>
      <c r="O58" s="27"/>
    </row>
    <row r="59" spans="2:15" ht="12.75" customHeight="1" x14ac:dyDescent="0.3">
      <c r="B59" s="47">
        <v>390</v>
      </c>
      <c r="C59" s="62" t="str">
        <f>VLOOKUP( $B59, T_Aop[], 5, 1)</f>
        <v>part 532</v>
      </c>
      <c r="D59" s="755" t="str">
        <f>VLOOKUP( $B59, T_Aop[], 6, 1)</f>
        <v xml:space="preserve">  c) Fixed assets ongoing maintenance services expenses</v>
      </c>
      <c r="E59" s="756"/>
      <c r="F59" s="756"/>
      <c r="G59" s="756"/>
      <c r="H59" s="757"/>
      <c r="I59" s="75">
        <f>VLOOKUP( $B59, T_Aop[], 4, 1)</f>
        <v>639</v>
      </c>
      <c r="J59" s="157">
        <v>61571</v>
      </c>
      <c r="K59" s="158">
        <v>69771</v>
      </c>
      <c r="O59" s="27"/>
    </row>
    <row r="60" spans="2:15" ht="12.75" customHeight="1" x14ac:dyDescent="0.3">
      <c r="B60" s="47">
        <v>391</v>
      </c>
      <c r="C60" s="58" t="str">
        <f>VLOOKUP( $B60, T_Aop[], 5, 1)</f>
        <v>part 532</v>
      </c>
      <c r="D60" s="758" t="str">
        <f>VLOOKUP( $B60, T_Aop[], 6, 1)</f>
        <v xml:space="preserve">  d) Fixed assets investment maintenance services expenses</v>
      </c>
      <c r="E60" s="759"/>
      <c r="F60" s="759"/>
      <c r="G60" s="759"/>
      <c r="H60" s="760"/>
      <c r="I60" s="59">
        <f>VLOOKUP( $B60, T_Aop[], 4, 1)</f>
        <v>640</v>
      </c>
      <c r="J60" s="155"/>
      <c r="K60" s="156"/>
      <c r="O60" s="27"/>
    </row>
    <row r="61" spans="2:15" ht="12.75" customHeight="1" x14ac:dyDescent="0.3">
      <c r="B61" s="47">
        <v>392</v>
      </c>
      <c r="C61" s="62">
        <f>VLOOKUP( $B61, T_Aop[], 5, 1)</f>
        <v>533</v>
      </c>
      <c r="D61" s="755" t="str">
        <f>VLOOKUP( $B61, T_Aop[], 6, 1)</f>
        <v xml:space="preserve">  e) Rent expense</v>
      </c>
      <c r="E61" s="756"/>
      <c r="F61" s="756"/>
      <c r="G61" s="756"/>
      <c r="H61" s="757"/>
      <c r="I61" s="75">
        <f>VLOOKUP( $B61, T_Aop[], 4, 1)</f>
        <v>641</v>
      </c>
      <c r="J61" s="157">
        <v>45250</v>
      </c>
      <c r="K61" s="158">
        <v>11495</v>
      </c>
      <c r="O61" s="27"/>
    </row>
    <row r="62" spans="2:15" ht="12.75" customHeight="1" x14ac:dyDescent="0.3">
      <c r="B62" s="47">
        <v>393</v>
      </c>
      <c r="C62" s="58" t="str">
        <f>VLOOKUP( $B62, T_Aop[], 5, 1)</f>
        <v>534 + 535</v>
      </c>
      <c r="D62" s="758" t="str">
        <f>VLOOKUP( $B62, T_Aop[], 6, 1)</f>
        <v xml:space="preserve">  f) Fairs, advertising and propaganda expenses</v>
      </c>
      <c r="E62" s="759"/>
      <c r="F62" s="759"/>
      <c r="G62" s="759"/>
      <c r="H62" s="760"/>
      <c r="I62" s="59">
        <f>VLOOKUP( $B62, T_Aop[], 4, 1)</f>
        <v>642</v>
      </c>
      <c r="J62" s="155">
        <v>1365</v>
      </c>
      <c r="K62" s="156">
        <v>1288</v>
      </c>
      <c r="O62" s="27"/>
    </row>
    <row r="63" spans="2:15" ht="12.75" customHeight="1" x14ac:dyDescent="0.3">
      <c r="B63" s="47">
        <v>394</v>
      </c>
      <c r="C63" s="62" t="str">
        <f>VLOOKUP( $B63, T_Aop[], 5, 1)</f>
        <v>536 + 537</v>
      </c>
      <c r="D63" s="755" t="str">
        <f>VLOOKUP( $B63, T_Aop[], 6, 1)</f>
        <v xml:space="preserve">  g) Research and development expenses that are not capitalised</v>
      </c>
      <c r="E63" s="756"/>
      <c r="F63" s="756"/>
      <c r="G63" s="756"/>
      <c r="H63" s="757"/>
      <c r="I63" s="75">
        <f>VLOOKUP( $B63, T_Aop[], 4, 1)</f>
        <v>643</v>
      </c>
      <c r="J63" s="157"/>
      <c r="K63" s="158"/>
      <c r="O63" s="27"/>
    </row>
    <row r="64" spans="2:15" x14ac:dyDescent="0.3">
      <c r="B64" s="47">
        <v>395</v>
      </c>
      <c r="C64" s="58">
        <f>VLOOKUP( $B64, T_Aop[], 5, 1)</f>
        <v>539</v>
      </c>
      <c r="D64" s="758" t="str">
        <f>VLOOKUP( $B64, T_Aop[], 6, 1)</f>
        <v xml:space="preserve">  h) Other services expenses</v>
      </c>
      <c r="E64" s="759"/>
      <c r="F64" s="759"/>
      <c r="G64" s="759"/>
      <c r="H64" s="760"/>
      <c r="I64" s="59">
        <f>VLOOKUP( $B64, T_Aop[], 4, 1)</f>
        <v>644</v>
      </c>
      <c r="J64" s="155">
        <v>99812</v>
      </c>
      <c r="K64" s="156">
        <v>87517</v>
      </c>
      <c r="O64" s="27"/>
    </row>
    <row r="65" spans="2:15" ht="12.75" customHeight="1" x14ac:dyDescent="0.3">
      <c r="B65" s="47">
        <v>396</v>
      </c>
      <c r="C65" s="62" t="str">
        <f>VLOOKUP( $B65, T_Aop[], 5, 1)</f>
        <v>part 539</v>
      </c>
      <c r="D65" s="755" t="str">
        <f>VLOOKUP( $B65, T_Aop[], 6, 1)</f>
        <v xml:space="preserve">    Of which: Gross fee amount for contracts with unemployed individuals</v>
      </c>
      <c r="E65" s="756"/>
      <c r="F65" s="756"/>
      <c r="G65" s="756"/>
      <c r="H65" s="757"/>
      <c r="I65" s="75">
        <f>VLOOKUP( $B65, T_Aop[], 4, 1)</f>
        <v>645</v>
      </c>
      <c r="J65" s="157">
        <v>0</v>
      </c>
      <c r="K65" s="158"/>
      <c r="O65" s="27"/>
    </row>
    <row r="66" spans="2:15" ht="12.75" customHeight="1" x14ac:dyDescent="0.3">
      <c r="B66" s="47">
        <v>397</v>
      </c>
      <c r="C66" s="187">
        <f>VLOOKUP( $B66, T_Aop[], 5, 1)</f>
        <v>55</v>
      </c>
      <c r="D66" s="689" t="str">
        <f>VLOOKUP( $B66, T_Aop[], 6, 1)</f>
        <v>NON-MATERIAL EXPENSES (647 + 650 + 651 + 652 + 653 + 654 + 655 + 656)</v>
      </c>
      <c r="E66" s="690"/>
      <c r="F66" s="690"/>
      <c r="G66" s="690"/>
      <c r="H66" s="691"/>
      <c r="I66" s="178">
        <f>VLOOKUP( $B66, T_Aop[], 4, 1)</f>
        <v>646</v>
      </c>
      <c r="J66" s="560">
        <f>SUBTOTAL( 9, J67, J70:J76)</f>
        <v>184629</v>
      </c>
      <c r="K66" s="493">
        <f>SUBTOTAL( 9, K67, K70:K76)</f>
        <v>129731</v>
      </c>
      <c r="O66" s="27"/>
    </row>
    <row r="67" spans="2:15" ht="12.75" customHeight="1" x14ac:dyDescent="0.3">
      <c r="B67" s="47">
        <v>398</v>
      </c>
      <c r="C67" s="62">
        <f>VLOOKUP( $B67, T_Aop[], 5, 1)</f>
        <v>550</v>
      </c>
      <c r="D67" s="755" t="str">
        <f>VLOOKUP( $B67, T_Aop[], 6, 1)</f>
        <v xml:space="preserve">  a) Other services expenses</v>
      </c>
      <c r="E67" s="756"/>
      <c r="F67" s="756"/>
      <c r="G67" s="756"/>
      <c r="H67" s="757"/>
      <c r="I67" s="75">
        <f>VLOOKUP( $B67, T_Aop[], 4, 1)</f>
        <v>647</v>
      </c>
      <c r="J67" s="157">
        <v>69527</v>
      </c>
      <c r="K67" s="158">
        <v>35195</v>
      </c>
      <c r="O67" s="27"/>
    </row>
    <row r="68" spans="2:15" ht="12.75" customHeight="1" x14ac:dyDescent="0.3">
      <c r="B68" s="47">
        <v>399</v>
      </c>
      <c r="C68" s="58" t="str">
        <f>VLOOKUP( $B68, T_Aop[], 5, 1)</f>
        <v>part 550</v>
      </c>
      <c r="D68" s="758" t="str">
        <f>VLOOKUP( $B68, T_Aop[], 6, 1)</f>
        <v xml:space="preserve">    Of which: costs of professional education and training of employees</v>
      </c>
      <c r="E68" s="759"/>
      <c r="F68" s="759"/>
      <c r="G68" s="759"/>
      <c r="H68" s="760"/>
      <c r="I68" s="59">
        <f>VLOOKUP( $B68, T_Aop[], 4, 1)</f>
        <v>648</v>
      </c>
      <c r="J68" s="155">
        <v>2459</v>
      </c>
      <c r="K68" s="156">
        <v>1728</v>
      </c>
      <c r="O68" s="27"/>
    </row>
    <row r="69" spans="2:15" ht="12.75" customHeight="1" x14ac:dyDescent="0.3">
      <c r="B69" s="47">
        <v>400</v>
      </c>
      <c r="C69" s="62" t="str">
        <f>VLOOKUP( $B69, T_Aop[], 5, 1)</f>
        <v>part 550</v>
      </c>
      <c r="D69" s="755" t="str">
        <f>VLOOKUP( $B69, T_Aop[], 6, 1)</f>
        <v xml:space="preserve">    Of which: Gross fee amount for contracts with unemployed individuals</v>
      </c>
      <c r="E69" s="756"/>
      <c r="F69" s="756"/>
      <c r="G69" s="756"/>
      <c r="H69" s="757"/>
      <c r="I69" s="75">
        <f>VLOOKUP( $B69, T_Aop[], 4, 1)</f>
        <v>649</v>
      </c>
      <c r="J69" s="157">
        <v>3723</v>
      </c>
      <c r="K69" s="158">
        <v>4090</v>
      </c>
      <c r="O69" s="27"/>
    </row>
    <row r="70" spans="2:15" ht="12.75" customHeight="1" x14ac:dyDescent="0.3">
      <c r="B70" s="47">
        <v>401</v>
      </c>
      <c r="C70" s="58">
        <f>VLOOKUP( $B70, T_Aop[], 5, 1)</f>
        <v>551</v>
      </c>
      <c r="D70" s="758" t="str">
        <f>VLOOKUP( $B70, T_Aop[], 6, 1)</f>
        <v xml:space="preserve">  b) Representation expense</v>
      </c>
      <c r="E70" s="759"/>
      <c r="F70" s="759"/>
      <c r="G70" s="759"/>
      <c r="H70" s="760"/>
      <c r="I70" s="59">
        <f>VLOOKUP( $B70, T_Aop[], 4, 1)</f>
        <v>650</v>
      </c>
      <c r="J70" s="155">
        <v>7733</v>
      </c>
      <c r="K70" s="156">
        <v>3305</v>
      </c>
      <c r="O70" s="27"/>
    </row>
    <row r="71" spans="2:15" ht="12.75" customHeight="1" x14ac:dyDescent="0.3">
      <c r="B71" s="47">
        <v>402</v>
      </c>
      <c r="C71" s="62">
        <f>VLOOKUP( $B71, T_Aop[], 5, 1)</f>
        <v>552</v>
      </c>
      <c r="D71" s="755" t="str">
        <f>VLOOKUP( $B71, T_Aop[], 6, 1)</f>
        <v xml:space="preserve">  c) Insurance premium expanse</v>
      </c>
      <c r="E71" s="756"/>
      <c r="F71" s="756"/>
      <c r="G71" s="756"/>
      <c r="H71" s="757"/>
      <c r="I71" s="75">
        <f>VLOOKUP( $B71, T_Aop[], 4, 1)</f>
        <v>651</v>
      </c>
      <c r="J71" s="157">
        <v>16068</v>
      </c>
      <c r="K71" s="158">
        <v>12748</v>
      </c>
      <c r="O71"/>
    </row>
    <row r="72" spans="2:15" ht="12.75" customHeight="1" x14ac:dyDescent="0.3">
      <c r="B72" s="47">
        <v>403</v>
      </c>
      <c r="C72" s="58">
        <f>VLOOKUP( $B72, T_Aop[], 5, 1)</f>
        <v>553</v>
      </c>
      <c r="D72" s="758" t="str">
        <f>VLOOKUP( $B72, T_Aop[], 6, 1)</f>
        <v xml:space="preserve">  d) Money transfer expense</v>
      </c>
      <c r="E72" s="759"/>
      <c r="F72" s="759"/>
      <c r="G72" s="759"/>
      <c r="H72" s="760"/>
      <c r="I72" s="59">
        <f>VLOOKUP( $B72, T_Aop[], 4, 1)</f>
        <v>652</v>
      </c>
      <c r="J72" s="155">
        <v>8497</v>
      </c>
      <c r="K72" s="156">
        <v>7293</v>
      </c>
      <c r="O72"/>
    </row>
    <row r="73" spans="2:15" ht="12.75" customHeight="1" x14ac:dyDescent="0.3">
      <c r="B73" s="47">
        <v>404</v>
      </c>
      <c r="C73" s="62">
        <f>VLOOKUP( $B73, T_Aop[], 5, 1)</f>
        <v>554</v>
      </c>
      <c r="D73" s="755" t="str">
        <f>VLOOKUP( $B73, T_Aop[], 6, 1)</f>
        <v xml:space="preserve">  e) Membership fee expanse</v>
      </c>
      <c r="E73" s="756"/>
      <c r="F73" s="756"/>
      <c r="G73" s="756"/>
      <c r="H73" s="757"/>
      <c r="I73" s="75">
        <f>VLOOKUP( $B73, T_Aop[], 4, 1)</f>
        <v>653</v>
      </c>
      <c r="J73" s="157">
        <v>1962</v>
      </c>
      <c r="K73" s="158">
        <v>1307</v>
      </c>
      <c r="O73"/>
    </row>
    <row r="74" spans="2:15" ht="12.75" customHeight="1" x14ac:dyDescent="0.3">
      <c r="B74" s="47">
        <v>405</v>
      </c>
      <c r="C74" s="58" t="str">
        <f>VLOOKUP( $B74, T_Aop[], 5, 1)</f>
        <v>part 555</v>
      </c>
      <c r="D74" s="758" t="str">
        <f>VLOOKUP( $B74, T_Aop[], 6, 1)</f>
        <v xml:space="preserve">  f) Taxes on products3, duties, residential tax, gambling tax, etc.</v>
      </c>
      <c r="E74" s="759"/>
      <c r="F74" s="759"/>
      <c r="G74" s="759"/>
      <c r="H74" s="760"/>
      <c r="I74" s="59">
        <f>VLOOKUP( $B74, T_Aop[], 4, 1)</f>
        <v>654</v>
      </c>
      <c r="J74" s="155">
        <v>60830</v>
      </c>
      <c r="K74" s="156">
        <v>60201</v>
      </c>
      <c r="O74" s="27"/>
    </row>
    <row r="75" spans="2:15" ht="25.5" customHeight="1" x14ac:dyDescent="0.3">
      <c r="B75" s="47">
        <v>406</v>
      </c>
      <c r="C75" s="62" t="str">
        <f>VLOOKUP( $B75, T_Aop[], 5, 1)</f>
        <v>part 555</v>
      </c>
      <c r="D75" s="755" t="str">
        <f>VLOOKUP( $B75, T_Aop[], 6, 1)</f>
        <v xml:space="preserve">  g) Taxes on production4: property and land taxes, taxes for water and forest, fire protection, etc.</v>
      </c>
      <c r="E75" s="756"/>
      <c r="F75" s="756"/>
      <c r="G75" s="756"/>
      <c r="H75" s="757"/>
      <c r="I75" s="75">
        <f>VLOOKUP( $B75, T_Aop[], 4, 1)</f>
        <v>655</v>
      </c>
      <c r="J75" s="157">
        <v>4555</v>
      </c>
      <c r="K75" s="158">
        <v>7537</v>
      </c>
      <c r="O75" s="27"/>
    </row>
    <row r="76" spans="2:15" ht="12.75" customHeight="1" x14ac:dyDescent="0.3">
      <c r="B76" s="47">
        <v>407</v>
      </c>
      <c r="C76" s="58">
        <f>VLOOKUP( $B76, T_Aop[], 5, 1)</f>
        <v>559</v>
      </c>
      <c r="D76" s="758" t="str">
        <f>VLOOKUP( $B76, T_Aop[], 6, 1)</f>
        <v xml:space="preserve">  h) Other non-material expenses</v>
      </c>
      <c r="E76" s="759"/>
      <c r="F76" s="759"/>
      <c r="G76" s="759"/>
      <c r="H76" s="760"/>
      <c r="I76" s="59">
        <f>VLOOKUP( $B76, T_Aop[], 4, 1)</f>
        <v>656</v>
      </c>
      <c r="J76" s="155">
        <v>15457</v>
      </c>
      <c r="K76" s="156">
        <v>2145</v>
      </c>
      <c r="O76" s="27"/>
    </row>
    <row r="77" spans="2:15" ht="12.75" customHeight="1" x14ac:dyDescent="0.3">
      <c r="B77" s="47">
        <v>408</v>
      </c>
      <c r="C77" s="62">
        <f>VLOOKUP( $B77, T_Aop[], 5, 1)</f>
        <v>0</v>
      </c>
      <c r="D77" s="755" t="str">
        <f>VLOOKUP( $B77, T_Aop[], 6, 1)</f>
        <v>LIABILITIES AND RECEIVABLES</v>
      </c>
      <c r="E77" s="756"/>
      <c r="F77" s="756"/>
      <c r="G77" s="756"/>
      <c r="H77" s="757"/>
      <c r="I77" s="75">
        <f>VLOOKUP( $B77, T_Aop[], 4, 1)</f>
        <v>657</v>
      </c>
      <c r="J77" s="157"/>
      <c r="K77" s="158"/>
      <c r="O77" s="27"/>
    </row>
    <row r="78" spans="2:15" ht="12.75" customHeight="1" x14ac:dyDescent="0.3">
      <c r="B78" s="47">
        <v>409</v>
      </c>
      <c r="C78" s="58" t="str">
        <f>VLOOKUP( $B78, T_Aop[], 5, 1)</f>
        <v>47, except 479</v>
      </c>
      <c r="D78" s="758" t="str">
        <f>VLOOKUP( $B78, T_Aop[], 6, 1)</f>
        <v xml:space="preserve">  Calculated (invoiced) value added tax (cumulative turnover of account)</v>
      </c>
      <c r="E78" s="759"/>
      <c r="F78" s="759"/>
      <c r="G78" s="759"/>
      <c r="H78" s="760"/>
      <c r="I78" s="59">
        <f>VLOOKUP( $B78, T_Aop[], 4, 1)</f>
        <v>658</v>
      </c>
      <c r="J78" s="155">
        <v>522658</v>
      </c>
      <c r="K78" s="156">
        <v>686156</v>
      </c>
      <c r="O78" s="133" t="s">
        <v>313</v>
      </c>
    </row>
    <row r="79" spans="2:15" ht="12.75" customHeight="1" x14ac:dyDescent="0.3">
      <c r="B79" s="47">
        <v>410</v>
      </c>
      <c r="C79" s="62" t="str">
        <f>VLOOKUP( $B79, T_Aop[], 5, 1)</f>
        <v>27, except 279</v>
      </c>
      <c r="D79" s="755" t="str">
        <f>VLOOKUP( $B79, T_Aop[], 6, 1)</f>
        <v xml:space="preserve">  Input value added tax (cumulative turnover of account)</v>
      </c>
      <c r="E79" s="756"/>
      <c r="F79" s="756"/>
      <c r="G79" s="756"/>
      <c r="H79" s="757"/>
      <c r="I79" s="75">
        <f>VLOOKUP( $B79, T_Aop[], 4, 1)</f>
        <v>659</v>
      </c>
      <c r="J79" s="157">
        <v>460787</v>
      </c>
      <c r="K79" s="158">
        <v>491571</v>
      </c>
      <c r="O79" s="27"/>
    </row>
    <row r="80" spans="2:15" ht="12.75" customHeight="1" x14ac:dyDescent="0.3">
      <c r="B80" s="47">
        <v>411</v>
      </c>
      <c r="C80" s="58">
        <f>VLOOKUP( $B80, T_Aop[], 5, 1)</f>
        <v>479</v>
      </c>
      <c r="D80" s="758" t="str">
        <f>VLOOKUP( $B80, T_Aop[], 6, 1)</f>
        <v xml:space="preserve">  Liabilities for VAT based on the difference between the calculated and advanced VAT (balance of account)</v>
      </c>
      <c r="E80" s="759"/>
      <c r="F80" s="759"/>
      <c r="G80" s="759"/>
      <c r="H80" s="760"/>
      <c r="I80" s="59">
        <f>VLOOKUP( $B80, T_Aop[], 4, 1)</f>
        <v>660</v>
      </c>
      <c r="J80" s="155">
        <v>5275</v>
      </c>
      <c r="K80" s="156">
        <v>16177</v>
      </c>
      <c r="O80" s="27"/>
    </row>
    <row r="81" spans="2:15" ht="12.75" customHeight="1" x14ac:dyDescent="0.3">
      <c r="B81" s="47">
        <v>412</v>
      </c>
      <c r="C81" s="62">
        <f>VLOOKUP( $B81, T_Aop[], 5, 1)</f>
        <v>279</v>
      </c>
      <c r="D81" s="755" t="str">
        <f>VLOOKUP( $B81, T_Aop[], 6, 1)</f>
        <v xml:space="preserve">  Receivables based on the difference between the advanced and calculated VAT (balance of account)</v>
      </c>
      <c r="E81" s="756"/>
      <c r="F81" s="756"/>
      <c r="G81" s="756"/>
      <c r="H81" s="757"/>
      <c r="I81" s="75">
        <f>VLOOKUP( $B81, T_Aop[], 4, 1)</f>
        <v>661</v>
      </c>
      <c r="J81" s="157">
        <v>0</v>
      </c>
      <c r="K81" s="158"/>
      <c r="O81" s="27"/>
    </row>
    <row r="82" spans="2:15" ht="12.75" customHeight="1" x14ac:dyDescent="0.3">
      <c r="B82" s="47">
        <v>413</v>
      </c>
      <c r="C82" s="58">
        <f>VLOOKUP( $B82, T_Aop[], 5, 1)</f>
        <v>271</v>
      </c>
      <c r="D82" s="758" t="str">
        <f>VLOOKUP( $B82, T_Aop[], 6, 1)</f>
        <v xml:space="preserve">  VAT paid for import (cumulative turnover of account)</v>
      </c>
      <c r="E82" s="759"/>
      <c r="F82" s="759"/>
      <c r="G82" s="759"/>
      <c r="H82" s="760"/>
      <c r="I82" s="59">
        <f>VLOOKUP( $B82, T_Aop[], 4, 1)</f>
        <v>662</v>
      </c>
      <c r="J82" s="155">
        <v>115545</v>
      </c>
      <c r="K82" s="156">
        <v>110718</v>
      </c>
      <c r="O82" s="27"/>
    </row>
    <row r="83" spans="2:15" ht="12.75" customHeight="1" x14ac:dyDescent="0.3">
      <c r="B83" s="47">
        <v>414</v>
      </c>
      <c r="C83" s="62">
        <f>VLOOKUP( $B83, T_Aop[], 5, 1)</f>
        <v>484</v>
      </c>
      <c r="D83" s="755" t="str">
        <f>VLOOKUP( $B83, T_Aop[], 6, 1)</f>
        <v xml:space="preserve">  Liabilities for VAT paid on import  (cumulative turnover of account)</v>
      </c>
      <c r="E83" s="756"/>
      <c r="F83" s="756"/>
      <c r="G83" s="756"/>
      <c r="H83" s="757"/>
      <c r="I83" s="75">
        <f>VLOOKUP( $B83, T_Aop[], 4, 1)</f>
        <v>663</v>
      </c>
      <c r="J83" s="157">
        <v>115545</v>
      </c>
      <c r="K83" s="158">
        <v>110718</v>
      </c>
      <c r="O83" s="27"/>
    </row>
    <row r="84" spans="2:15" ht="12.75" customHeight="1" x14ac:dyDescent="0.3">
      <c r="B84" s="47">
        <v>415</v>
      </c>
      <c r="C84" s="58">
        <f>VLOOKUP( $B84, T_Aop[], 5, 1)</f>
        <v>480</v>
      </c>
      <c r="D84" s="758" t="str">
        <f>VLOOKUP( $B84, T_Aop[], 6, 1)</f>
        <v xml:space="preserve">  Liabilities for excise (cumulative turnover of account)</v>
      </c>
      <c r="E84" s="759"/>
      <c r="F84" s="759"/>
      <c r="G84" s="759"/>
      <c r="H84" s="760"/>
      <c r="I84" s="59">
        <f>VLOOKUP( $B84, T_Aop[], 4, 1)</f>
        <v>664</v>
      </c>
      <c r="J84" s="155"/>
      <c r="K84" s="156"/>
      <c r="O84" s="27"/>
    </row>
    <row r="85" spans="2:15" ht="12.75" customHeight="1" x14ac:dyDescent="0.3">
      <c r="B85" s="47">
        <v>416</v>
      </c>
      <c r="C85" s="62">
        <f>VLOOKUP( $B85, T_Aop[], 5, 1)</f>
        <v>0</v>
      </c>
      <c r="D85" s="755" t="str">
        <f>VLOOKUP( $B85, T_Aop[], 6, 1)</f>
        <v xml:space="preserve">  Income realized on the basis of subcontracting</v>
      </c>
      <c r="E85" s="756"/>
      <c r="F85" s="756"/>
      <c r="G85" s="756"/>
      <c r="H85" s="757"/>
      <c r="I85" s="75">
        <f>VLOOKUP( $B85, T_Aop[], 4, 1)</f>
        <v>665</v>
      </c>
      <c r="J85" s="157"/>
      <c r="K85" s="158"/>
      <c r="O85" s="27"/>
    </row>
    <row r="86" spans="2:15" ht="12.75" customHeight="1" x14ac:dyDescent="0.3">
      <c r="B86" s="47">
        <v>417</v>
      </c>
      <c r="C86" s="58">
        <f>VLOOKUP( $B86, T_Aop[], 5, 1)</f>
        <v>0</v>
      </c>
      <c r="D86" s="758" t="str">
        <f>VLOOKUP( $B86, T_Aop[], 6, 1)</f>
        <v xml:space="preserve">  Payment to subcontractors for work, delivered products and services</v>
      </c>
      <c r="E86" s="759"/>
      <c r="F86" s="759"/>
      <c r="G86" s="759"/>
      <c r="H86" s="760"/>
      <c r="I86" s="59">
        <f>VLOOKUP( $B86, T_Aop[], 4, 1)</f>
        <v>666</v>
      </c>
      <c r="J86" s="155"/>
      <c r="K86" s="156"/>
      <c r="O86" s="27"/>
    </row>
    <row r="87" spans="2:15" ht="12.75" customHeight="1" x14ac:dyDescent="0.3">
      <c r="B87" s="47">
        <v>418</v>
      </c>
      <c r="C87" s="547">
        <f>VLOOKUP( $B87, T_Aop[], 5, 1)</f>
        <v>0</v>
      </c>
      <c r="D87" s="752" t="str">
        <f>VLOOKUP( $B87, T_Aop[], 6, 1)</f>
        <v xml:space="preserve">  Total number of working hours (effective working hours that do not include sick leave, vacation and national holidays, etc.)</v>
      </c>
      <c r="E87" s="753"/>
      <c r="F87" s="753"/>
      <c r="G87" s="753"/>
      <c r="H87" s="754"/>
      <c r="I87" s="548">
        <f>VLOOKUP( $B87, T_Aop[], 4, 1)</f>
        <v>667</v>
      </c>
      <c r="J87" s="549">
        <v>28987</v>
      </c>
      <c r="K87" s="550">
        <v>26818</v>
      </c>
      <c r="O87" s="27"/>
    </row>
    <row r="88" spans="2:15" ht="12.75" customHeight="1" x14ac:dyDescent="0.3">
      <c r="B88" s="47"/>
      <c r="C88" s="562"/>
      <c r="D88" s="563"/>
      <c r="E88" s="563"/>
      <c r="F88" s="563"/>
      <c r="G88" s="563"/>
      <c r="H88" s="563"/>
      <c r="I88" s="564"/>
      <c r="J88" s="565"/>
      <c r="K88" s="565"/>
      <c r="O88" s="27"/>
    </row>
    <row r="89" spans="2:15" ht="21.75" customHeight="1" x14ac:dyDescent="0.3">
      <c r="B89" s="47">
        <v>419</v>
      </c>
      <c r="C89" s="763" t="str">
        <f>Prevod!G107</f>
        <v>1 Product subsidies include subsidies that can be shown per product unit, i.e. The amount of these subsidies depends on the volume of production (e.g. train ticket, flour, bread, milk, etc.).</v>
      </c>
      <c r="D89" s="763"/>
      <c r="E89" s="763"/>
      <c r="F89" s="763"/>
      <c r="G89" s="763"/>
      <c r="H89" s="763"/>
      <c r="I89" s="763"/>
      <c r="J89" s="763"/>
      <c r="K89" s="763"/>
      <c r="O89" s="27"/>
    </row>
    <row r="90" spans="2:15" ht="21.75" customHeight="1" x14ac:dyDescent="0.3">
      <c r="B90" s="47">
        <v>420</v>
      </c>
      <c r="C90" s="763" t="str">
        <f>Prevod!G108</f>
        <v>2 Production subsidies include subsidies that cannot be shown per unit of product or service (e.g. employment, salary, interest rate, for reducing pollution, etc.).</v>
      </c>
      <c r="D90" s="763"/>
      <c r="E90" s="763"/>
      <c r="F90" s="763"/>
      <c r="G90" s="763"/>
      <c r="H90" s="763"/>
      <c r="I90" s="763"/>
      <c r="J90" s="763"/>
      <c r="K90" s="763"/>
      <c r="O90" s="27"/>
    </row>
    <row r="91" spans="2:15" ht="23.25" customHeight="1" x14ac:dyDescent="0.3">
      <c r="B91" s="47">
        <v>421</v>
      </c>
      <c r="C91" s="763" t="str">
        <f>Prevod!G109</f>
        <v>3 Taxes on products depend on the quantity or value of goods and services produced (e.g. customs duties, residence taxes, tax on games of chance, etc.).</v>
      </c>
      <c r="D91" s="763"/>
      <c r="E91" s="763"/>
      <c r="F91" s="763"/>
      <c r="G91" s="763"/>
      <c r="H91" s="763"/>
      <c r="I91" s="763"/>
      <c r="J91" s="763"/>
      <c r="K91" s="763"/>
      <c r="O91" s="27"/>
    </row>
    <row r="92" spans="2:15" ht="21.75" customHeight="1" x14ac:dyDescent="0.3">
      <c r="B92" s="47">
        <v>422</v>
      </c>
      <c r="C92" s="763" t="str">
        <f>Prevod!G110</f>
        <v>4 Taxes on production include all taxes charged by the reporting entity due to engagement in production, regardless of the quantity or value of derived goods and services (e.g. on property, on land, for the use of water and forests, for fire protection, etc.).</v>
      </c>
      <c r="D92" s="763"/>
      <c r="E92" s="763"/>
      <c r="F92" s="763"/>
      <c r="G92" s="763"/>
      <c r="H92" s="763"/>
      <c r="I92" s="763"/>
      <c r="J92" s="763"/>
      <c r="K92" s="763"/>
      <c r="O92" s="27"/>
    </row>
    <row r="93" spans="2:15" ht="23.25" customHeight="1" x14ac:dyDescent="0.3">
      <c r="C93" s="37"/>
      <c r="D93" s="40"/>
      <c r="E93" s="40"/>
      <c r="F93" s="40"/>
      <c r="G93" s="40"/>
      <c r="H93" s="40"/>
      <c r="I93" s="233"/>
      <c r="J93" s="37"/>
      <c r="K93" s="37"/>
    </row>
    <row r="94" spans="2:15" x14ac:dyDescent="0.3">
      <c r="C94" s="180" t="str">
        <f>Podnozje_U</f>
        <v>In</v>
      </c>
      <c r="D94" s="419" t="str">
        <f>Podatak_U</f>
        <v>Kakmužu</v>
      </c>
      <c r="E94"/>
      <c r="F94" s="1" t="str">
        <f>Podnozje_Lice_sa_licencom</f>
        <v>Authorized Accountant:</v>
      </c>
      <c r="G94" s="1" t="str">
        <f>Podatak_Lice_sa_licencom</f>
        <v>Žarko Tripunović</v>
      </c>
      <c r="H94" s="37" t="str">
        <f>Podnozje_MP</f>
        <v>(Stamp)</v>
      </c>
      <c r="J94" s="744" t="str">
        <f>Podnozje_Direktor</f>
        <v>CEO:</v>
      </c>
      <c r="K94" s="744"/>
      <c r="L94" s="744"/>
    </row>
    <row r="95" spans="2:15" x14ac:dyDescent="0.3">
      <c r="C95" s="28"/>
      <c r="D95" s="127"/>
      <c r="E95"/>
      <c r="F95" s="13" t="str">
        <f>Podnozje_Broj_licence</f>
        <v>Licence No.:</v>
      </c>
      <c r="G95" s="13" t="str">
        <f>Podatak_Broj_Licence</f>
        <v>SR-1138/23</v>
      </c>
      <c r="H95" s="78"/>
      <c r="I95" s="78"/>
      <c r="J95" s="745" t="str">
        <f>Podatak_Direktor</f>
        <v>Mladen Ristić</v>
      </c>
      <c r="K95" s="745"/>
      <c r="L95" s="9"/>
    </row>
    <row r="96" spans="2:15" x14ac:dyDescent="0.3">
      <c r="C96" s="180" t="str">
        <f>Podnozje_Dana</f>
        <v>Date:</v>
      </c>
      <c r="D96" s="418" t="str">
        <f>Podatak_Dana</f>
        <v>21.02.2022.</v>
      </c>
      <c r="E96"/>
      <c r="F96" s="702"/>
      <c r="G96" s="702"/>
      <c r="J96" s="702"/>
      <c r="K96" s="702"/>
    </row>
    <row r="97" spans="6:11" x14ac:dyDescent="0.3">
      <c r="G97" s="39"/>
      <c r="H97" s="37"/>
      <c r="I97" s="181"/>
      <c r="J97" s="39"/>
      <c r="K97" s="39"/>
    </row>
    <row r="98" spans="6:11" hidden="1" x14ac:dyDescent="0.3">
      <c r="F98" s="40"/>
      <c r="G98" s="40"/>
      <c r="H98" s="40"/>
      <c r="I98" s="9"/>
      <c r="J98" s="37"/>
      <c r="K98" s="37"/>
    </row>
    <row r="99" spans="6:11" x14ac:dyDescent="0.3"/>
    <row r="100" spans="6:11" x14ac:dyDescent="0.3"/>
    <row r="101" spans="6:11" x14ac:dyDescent="0.3"/>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22860</xdr:colOff>
                    <xdr:row>0</xdr:row>
                    <xdr:rowOff>38100</xdr:rowOff>
                  </from>
                  <to>
                    <xdr:col>10</xdr:col>
                    <xdr:colOff>845820</xdr:colOff>
                    <xdr:row>3</xdr:row>
                    <xdr:rowOff>144780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3.8" x14ac:dyDescent="0.3"/>
  <cols>
    <col min="1" max="1" width="16.109375" customWidth="1"/>
    <col min="2" max="2" width="27.44140625" customWidth="1"/>
    <col min="3" max="3" width="46.33203125" customWidth="1"/>
    <col min="4" max="5" width="42.6640625" customWidth="1"/>
    <col min="6" max="7" width="38.33203125" customWidth="1"/>
    <col min="8" max="8" width="31.33203125" customWidth="1"/>
    <col min="9" max="9" width="12.5546875" customWidth="1"/>
  </cols>
  <sheetData>
    <row r="1" spans="1:9" ht="14.4" x14ac:dyDescent="0.3">
      <c r="A1" s="2" t="s">
        <v>109</v>
      </c>
      <c r="B1" s="2" t="s">
        <v>124</v>
      </c>
      <c r="C1" s="2" t="s">
        <v>105</v>
      </c>
      <c r="D1" s="2" t="s">
        <v>108</v>
      </c>
      <c r="E1" s="2" t="s">
        <v>106</v>
      </c>
      <c r="F1" s="2" t="s">
        <v>2109</v>
      </c>
      <c r="G1" s="36" t="s">
        <v>250</v>
      </c>
      <c r="H1" s="2" t="s">
        <v>136</v>
      </c>
      <c r="I1" s="2" t="s">
        <v>395</v>
      </c>
    </row>
    <row r="2" spans="1:9" x14ac:dyDescent="0.3">
      <c r="A2" s="1" t="s">
        <v>206</v>
      </c>
      <c r="B2" s="1" t="s">
        <v>207</v>
      </c>
      <c r="C2" s="1" t="s">
        <v>296</v>
      </c>
      <c r="D2" s="1" t="s">
        <v>297</v>
      </c>
      <c r="E2" s="1" t="s">
        <v>298</v>
      </c>
      <c r="F2" t="s">
        <v>2110</v>
      </c>
      <c r="G2" s="7" t="str">
        <f t="shared" ref="G2:G34" si="0">CHOOSE( ID_Jezik, C2, D2, E2,F2)</f>
        <v>Header:</v>
      </c>
      <c r="H2" s="7" t="str">
        <f>SUBSTITUTE(A2&amp;"_"&amp;B2," ","_")</f>
        <v>Objasnjenja_Zaglavlje</v>
      </c>
      <c r="I2">
        <f t="shared" ref="I2:I33" si="1">COUNTIF($B$2:$B$1034,"="&amp;B2)</f>
        <v>1</v>
      </c>
    </row>
    <row r="3" spans="1:9" x14ac:dyDescent="0.3">
      <c r="A3" s="1" t="s">
        <v>206</v>
      </c>
      <c r="B3" s="1" t="s">
        <v>208</v>
      </c>
      <c r="C3" s="1" t="s">
        <v>340</v>
      </c>
      <c r="D3" s="1" t="s">
        <v>341</v>
      </c>
      <c r="E3" s="1" t="s">
        <v>299</v>
      </c>
      <c r="F3" t="s">
        <v>2111</v>
      </c>
      <c r="G3" s="7" t="str">
        <f t="shared" si="0"/>
        <v>Footer:</v>
      </c>
      <c r="H3" s="7" t="str">
        <f t="shared" ref="H3:H52" si="2">SUBSTITUTE(A3&amp;"_"&amp;B3," ","_")</f>
        <v>Objasnjenja_Podnozje</v>
      </c>
      <c r="I3">
        <f t="shared" si="1"/>
        <v>1</v>
      </c>
    </row>
    <row r="4" spans="1:9" x14ac:dyDescent="0.3">
      <c r="A4" s="1" t="s">
        <v>206</v>
      </c>
      <c r="B4" s="1" t="s">
        <v>209</v>
      </c>
      <c r="C4" s="1" t="s">
        <v>232</v>
      </c>
      <c r="D4" s="1" t="s">
        <v>272</v>
      </c>
      <c r="E4" s="1" t="s">
        <v>233</v>
      </c>
      <c r="F4" t="s">
        <v>2112</v>
      </c>
      <c r="G4" s="7" t="str">
        <f t="shared" si="0"/>
        <v>Bank name</v>
      </c>
      <c r="H4" s="7" t="str">
        <f t="shared" si="2"/>
        <v>Objasnjenja_Banka</v>
      </c>
      <c r="I4">
        <f t="shared" si="1"/>
        <v>1</v>
      </c>
    </row>
    <row r="5" spans="1:9" x14ac:dyDescent="0.3">
      <c r="A5" s="1" t="s">
        <v>206</v>
      </c>
      <c r="B5" s="1" t="s">
        <v>210</v>
      </c>
      <c r="C5" s="1" t="s">
        <v>211</v>
      </c>
      <c r="D5" s="1" t="s">
        <v>273</v>
      </c>
      <c r="E5" s="1" t="s">
        <v>107</v>
      </c>
      <c r="F5" t="s">
        <v>2113</v>
      </c>
      <c r="G5" s="7" t="str">
        <f t="shared" si="0"/>
        <v>Bank Account Numbers:</v>
      </c>
      <c r="H5" s="7" t="str">
        <f t="shared" si="2"/>
        <v>Objasnjenja_Bankovni_racun</v>
      </c>
      <c r="I5" s="3">
        <f t="shared" si="1"/>
        <v>1</v>
      </c>
    </row>
    <row r="6" spans="1:9" x14ac:dyDescent="0.3">
      <c r="A6" s="1" t="s">
        <v>206</v>
      </c>
      <c r="B6" s="1" t="s">
        <v>2759</v>
      </c>
      <c r="C6" s="1" t="s">
        <v>212</v>
      </c>
      <c r="D6" s="1" t="s">
        <v>2756</v>
      </c>
      <c r="E6" s="1" t="s">
        <v>2757</v>
      </c>
      <c r="F6" s="433" t="s">
        <v>2758</v>
      </c>
      <c r="G6" s="7" t="str">
        <f>CHOOSE( ID_Jezik, C6, D6, E6,F6)</f>
        <v>Contact:</v>
      </c>
      <c r="H6" s="7" t="str">
        <f t="shared" ref="H6:H11" si="3">SUBSTITUTE(A6&amp;"_"&amp;B6," ","_")</f>
        <v>Objasnjenja_Kontakti</v>
      </c>
      <c r="I6" s="3">
        <f t="shared" si="1"/>
        <v>1</v>
      </c>
    </row>
    <row r="7" spans="1:9" x14ac:dyDescent="0.3">
      <c r="A7" s="1" t="s">
        <v>206</v>
      </c>
      <c r="B7" s="1" t="s">
        <v>429</v>
      </c>
      <c r="C7" s="1" t="s">
        <v>401</v>
      </c>
      <c r="D7" s="1" t="s">
        <v>428</v>
      </c>
      <c r="E7" s="1" t="s">
        <v>403</v>
      </c>
      <c r="F7" t="s">
        <v>2114</v>
      </c>
      <c r="G7" s="7" t="str">
        <f t="shared" si="0"/>
        <v>Main Bank Account</v>
      </c>
      <c r="H7" s="7" t="str">
        <f t="shared" si="3"/>
        <v>Objasnjenja_Glavni_racun</v>
      </c>
      <c r="I7" s="3">
        <f t="shared" si="1"/>
        <v>1</v>
      </c>
    </row>
    <row r="8" spans="1:9" x14ac:dyDescent="0.3">
      <c r="A8" s="1" t="s">
        <v>206</v>
      </c>
      <c r="B8" s="1" t="s">
        <v>267</v>
      </c>
      <c r="C8" s="1" t="s">
        <v>267</v>
      </c>
      <c r="D8" s="1" t="s">
        <v>274</v>
      </c>
      <c r="E8" s="1" t="s">
        <v>268</v>
      </c>
      <c r="F8" t="s">
        <v>2115</v>
      </c>
      <c r="G8" s="7" t="str">
        <f t="shared" si="0"/>
        <v>Navigation</v>
      </c>
      <c r="H8" s="7" t="str">
        <f t="shared" si="3"/>
        <v>Objasnjenja_Navigacija</v>
      </c>
      <c r="I8" s="3">
        <f t="shared" si="1"/>
        <v>1</v>
      </c>
    </row>
    <row r="9" spans="1:9" x14ac:dyDescent="0.3">
      <c r="A9" s="1" t="s">
        <v>206</v>
      </c>
      <c r="B9" s="1" t="s">
        <v>182</v>
      </c>
      <c r="C9" s="1" t="s">
        <v>182</v>
      </c>
      <c r="D9" s="1" t="s">
        <v>433</v>
      </c>
      <c r="E9" s="1" t="s">
        <v>430</v>
      </c>
      <c r="F9" t="s">
        <v>2116</v>
      </c>
      <c r="G9" s="7" t="str">
        <f t="shared" si="0"/>
        <v>Day</v>
      </c>
      <c r="H9" s="7" t="str">
        <f t="shared" si="3"/>
        <v>Objasnjenja_Dan</v>
      </c>
      <c r="I9" s="3">
        <f t="shared" si="1"/>
        <v>1</v>
      </c>
    </row>
    <row r="10" spans="1:9" x14ac:dyDescent="0.3">
      <c r="A10" s="1" t="s">
        <v>206</v>
      </c>
      <c r="B10" s="1" t="s">
        <v>181</v>
      </c>
      <c r="C10" s="1" t="s">
        <v>181</v>
      </c>
      <c r="D10" s="1" t="s">
        <v>434</v>
      </c>
      <c r="E10" s="1" t="s">
        <v>431</v>
      </c>
      <c r="F10" t="s">
        <v>2117</v>
      </c>
      <c r="G10" s="7" t="str">
        <f t="shared" si="0"/>
        <v>Month</v>
      </c>
      <c r="H10" s="7" t="str">
        <f t="shared" si="3"/>
        <v>Objasnjenja_Mjesec</v>
      </c>
      <c r="I10" s="3">
        <f t="shared" si="1"/>
        <v>1</v>
      </c>
    </row>
    <row r="11" spans="1:9" x14ac:dyDescent="0.3">
      <c r="A11" s="1" t="s">
        <v>206</v>
      </c>
      <c r="B11" s="1" t="s">
        <v>177</v>
      </c>
      <c r="C11" s="1" t="s">
        <v>177</v>
      </c>
      <c r="D11" s="1" t="s">
        <v>435</v>
      </c>
      <c r="E11" s="1" t="s">
        <v>432</v>
      </c>
      <c r="F11" t="s">
        <v>2118</v>
      </c>
      <c r="G11" s="7" t="str">
        <f t="shared" si="0"/>
        <v>Year</v>
      </c>
      <c r="H11" s="7" t="str">
        <f t="shared" si="3"/>
        <v>Objasnjenja_Godina</v>
      </c>
      <c r="I11" s="3">
        <f t="shared" si="1"/>
        <v>1</v>
      </c>
    </row>
    <row r="12" spans="1:9" x14ac:dyDescent="0.3">
      <c r="A12" s="1" t="s">
        <v>213</v>
      </c>
      <c r="B12" s="1" t="s">
        <v>214</v>
      </c>
      <c r="C12" s="1" t="s">
        <v>215</v>
      </c>
      <c r="D12" s="1" t="s">
        <v>228</v>
      </c>
      <c r="E12" s="1" t="s">
        <v>223</v>
      </c>
      <c r="F12" t="s">
        <v>2119</v>
      </c>
      <c r="G12" s="7" t="str">
        <f t="shared" si="0"/>
        <v>Address:</v>
      </c>
      <c r="H12" s="7" t="str">
        <f t="shared" si="2"/>
        <v>Kontakt_Adresa</v>
      </c>
      <c r="I12" s="3">
        <f t="shared" si="1"/>
        <v>1</v>
      </c>
    </row>
    <row r="13" spans="1:9" x14ac:dyDescent="0.3">
      <c r="A13" s="1" t="s">
        <v>213</v>
      </c>
      <c r="B13" s="1" t="s">
        <v>220</v>
      </c>
      <c r="C13" s="1" t="s">
        <v>217</v>
      </c>
      <c r="D13" s="1" t="s">
        <v>229</v>
      </c>
      <c r="E13" s="1" t="s">
        <v>225</v>
      </c>
      <c r="F13" t="s">
        <v>2120</v>
      </c>
      <c r="G13" s="7" t="str">
        <f t="shared" si="0"/>
        <v>Web:</v>
      </c>
      <c r="H13" s="7" t="str">
        <f t="shared" si="2"/>
        <v>Kontakt_web</v>
      </c>
      <c r="I13" s="3">
        <f t="shared" si="1"/>
        <v>1</v>
      </c>
    </row>
    <row r="14" spans="1:9" x14ac:dyDescent="0.3">
      <c r="A14" s="1" t="s">
        <v>213</v>
      </c>
      <c r="B14" s="1" t="s">
        <v>216</v>
      </c>
      <c r="C14" s="1" t="s">
        <v>300</v>
      </c>
      <c r="D14" s="1" t="s">
        <v>301</v>
      </c>
      <c r="E14" s="1" t="s">
        <v>224</v>
      </c>
      <c r="F14" t="s">
        <v>2121</v>
      </c>
      <c r="G14" s="7" t="str">
        <f t="shared" si="0"/>
        <v>Email:</v>
      </c>
      <c r="H14" s="7" t="str">
        <f t="shared" si="2"/>
        <v>Kontakt_email</v>
      </c>
      <c r="I14" s="3">
        <f t="shared" si="1"/>
        <v>1</v>
      </c>
    </row>
    <row r="15" spans="1:9" x14ac:dyDescent="0.3">
      <c r="A15" s="1" t="s">
        <v>213</v>
      </c>
      <c r="B15" s="1" t="s">
        <v>221</v>
      </c>
      <c r="C15" s="1" t="s">
        <v>218</v>
      </c>
      <c r="D15" s="1" t="s">
        <v>230</v>
      </c>
      <c r="E15" s="1" t="s">
        <v>226</v>
      </c>
      <c r="F15" t="s">
        <v>2122</v>
      </c>
      <c r="G15" s="7" t="str">
        <f t="shared" si="0"/>
        <v>Phone:</v>
      </c>
      <c r="H15" s="7" t="str">
        <f t="shared" si="2"/>
        <v>Kontakt_tel</v>
      </c>
      <c r="I15" s="3">
        <f t="shared" si="1"/>
        <v>1</v>
      </c>
    </row>
    <row r="16" spans="1:9" x14ac:dyDescent="0.3">
      <c r="A16" s="1" t="s">
        <v>213</v>
      </c>
      <c r="B16" s="1" t="s">
        <v>222</v>
      </c>
      <c r="C16" s="1" t="s">
        <v>219</v>
      </c>
      <c r="D16" s="1" t="s">
        <v>231</v>
      </c>
      <c r="E16" s="1" t="s">
        <v>227</v>
      </c>
      <c r="F16" t="s">
        <v>2123</v>
      </c>
      <c r="G16" s="7" t="str">
        <f t="shared" si="0"/>
        <v>Fax:</v>
      </c>
      <c r="H16" s="7" t="str">
        <f t="shared" si="2"/>
        <v>Kontakt_fax</v>
      </c>
      <c r="I16" s="3">
        <f t="shared" si="1"/>
        <v>1</v>
      </c>
    </row>
    <row r="17" spans="1:9" x14ac:dyDescent="0.3">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3">
      <c r="A18" s="1" t="s">
        <v>261</v>
      </c>
      <c r="B18" s="1" t="s">
        <v>452</v>
      </c>
      <c r="C18" s="1" t="s">
        <v>455</v>
      </c>
      <c r="D18" s="1" t="s">
        <v>454</v>
      </c>
      <c r="E18" s="1" t="s">
        <v>453</v>
      </c>
      <c r="F18" t="s">
        <v>2125</v>
      </c>
      <c r="G18" s="7" t="str">
        <f t="shared" si="0"/>
        <v>Reporting Period:</v>
      </c>
      <c r="H18" s="7" t="str">
        <f>SUBSTITUTE(A18&amp;"_"&amp;B18," ","_")</f>
        <v>Osnovno_Izvjestajni_period</v>
      </c>
      <c r="I18" s="3">
        <f t="shared" si="1"/>
        <v>1</v>
      </c>
    </row>
    <row r="19" spans="1:9" x14ac:dyDescent="0.3">
      <c r="A19" s="1" t="s">
        <v>261</v>
      </c>
      <c r="B19" s="1" t="s">
        <v>424</v>
      </c>
      <c r="C19" s="1" t="s">
        <v>397</v>
      </c>
      <c r="D19" s="1" t="s">
        <v>426</v>
      </c>
      <c r="E19" s="1" t="s">
        <v>404</v>
      </c>
      <c r="F19" t="s">
        <v>2126</v>
      </c>
      <c r="G19" s="7" t="str">
        <f t="shared" si="0"/>
        <v>Start of Reporting Period:</v>
      </c>
      <c r="H19" s="7" t="str">
        <f t="shared" si="2"/>
        <v>Osnovno_Pocetak_perioda</v>
      </c>
      <c r="I19">
        <f t="shared" si="1"/>
        <v>1</v>
      </c>
    </row>
    <row r="20" spans="1:9" x14ac:dyDescent="0.3">
      <c r="A20" s="1" t="s">
        <v>261</v>
      </c>
      <c r="B20" s="1" t="s">
        <v>425</v>
      </c>
      <c r="C20" s="1" t="s">
        <v>396</v>
      </c>
      <c r="D20" s="1" t="s">
        <v>427</v>
      </c>
      <c r="E20" s="1" t="s">
        <v>405</v>
      </c>
      <c r="F20" t="s">
        <v>2127</v>
      </c>
      <c r="G20" s="7" t="str">
        <f t="shared" si="0"/>
        <v>End of Reporting Period:</v>
      </c>
      <c r="H20" s="7" t="str">
        <f t="shared" si="2"/>
        <v>Osnovno_Kraj_perioda</v>
      </c>
      <c r="I20">
        <f t="shared" si="1"/>
        <v>1</v>
      </c>
    </row>
    <row r="21" spans="1:9" x14ac:dyDescent="0.3">
      <c r="A21" s="1" t="s">
        <v>261</v>
      </c>
      <c r="B21" s="1" t="s">
        <v>303</v>
      </c>
      <c r="C21" s="1" t="s">
        <v>479</v>
      </c>
      <c r="D21" s="1" t="s">
        <v>480</v>
      </c>
      <c r="E21" s="1" t="s">
        <v>481</v>
      </c>
      <c r="F21" t="s">
        <v>2128</v>
      </c>
      <c r="G21" s="7" t="str">
        <f t="shared" si="0"/>
        <v>Report type:</v>
      </c>
      <c r="H21" s="7" t="str">
        <f>SUBSTITUTE(A21&amp;"_"&amp;B21," ","_")</f>
        <v>Osnovno_Vrsta_izvjestaja</v>
      </c>
      <c r="I21" s="3">
        <f t="shared" si="1"/>
        <v>1</v>
      </c>
    </row>
    <row r="22" spans="1:9" x14ac:dyDescent="0.3">
      <c r="A22" s="1" t="s">
        <v>234</v>
      </c>
      <c r="B22" s="1" t="s">
        <v>235</v>
      </c>
      <c r="C22" s="1" t="s">
        <v>179</v>
      </c>
      <c r="D22" s="1" t="s">
        <v>243</v>
      </c>
      <c r="E22" s="1" t="s">
        <v>239</v>
      </c>
      <c r="F22" t="s">
        <v>2129</v>
      </c>
      <c r="G22" s="7" t="str">
        <f t="shared" si="0"/>
        <v>The first quarter</v>
      </c>
      <c r="H22" s="7" t="str">
        <f t="shared" si="2"/>
        <v>Vrsta_izvjestaja_Prvi_kvartal</v>
      </c>
      <c r="I22" s="3">
        <f t="shared" si="1"/>
        <v>1</v>
      </c>
    </row>
    <row r="23" spans="1:9" x14ac:dyDescent="0.3">
      <c r="A23" s="1" t="s">
        <v>234</v>
      </c>
      <c r="B23" s="1" t="s">
        <v>236</v>
      </c>
      <c r="C23" s="1" t="s">
        <v>178</v>
      </c>
      <c r="D23" s="1" t="s">
        <v>244</v>
      </c>
      <c r="E23" s="1" t="s">
        <v>241</v>
      </c>
      <c r="F23" t="s">
        <v>2130</v>
      </c>
      <c r="G23" s="7" t="str">
        <f t="shared" si="0"/>
        <v>Semiannual</v>
      </c>
      <c r="H23" s="7" t="str">
        <f t="shared" si="2"/>
        <v>Vrsta_izvjestaja_Polugodisnji</v>
      </c>
      <c r="I23" s="3">
        <f t="shared" si="1"/>
        <v>1</v>
      </c>
    </row>
    <row r="24" spans="1:9" x14ac:dyDescent="0.3">
      <c r="A24" s="1" t="s">
        <v>234</v>
      </c>
      <c r="B24" s="1" t="s">
        <v>237</v>
      </c>
      <c r="C24" s="1" t="s">
        <v>180</v>
      </c>
      <c r="D24" s="1" t="s">
        <v>245</v>
      </c>
      <c r="E24" s="1" t="s">
        <v>240</v>
      </c>
      <c r="F24" t="s">
        <v>2131</v>
      </c>
      <c r="G24" s="7" t="str">
        <f t="shared" si="0"/>
        <v>The third quarter</v>
      </c>
      <c r="H24" s="7" t="str">
        <f t="shared" si="2"/>
        <v>Vrsta_izvjestaja_Treci_kvartal</v>
      </c>
      <c r="I24" s="3">
        <f t="shared" si="1"/>
        <v>1</v>
      </c>
    </row>
    <row r="25" spans="1:9" x14ac:dyDescent="0.3">
      <c r="A25" s="1" t="s">
        <v>234</v>
      </c>
      <c r="B25" s="1" t="s">
        <v>238</v>
      </c>
      <c r="C25" s="1" t="s">
        <v>175</v>
      </c>
      <c r="D25" s="1" t="s">
        <v>246</v>
      </c>
      <c r="E25" s="1" t="s">
        <v>242</v>
      </c>
      <c r="F25" t="s">
        <v>2132</v>
      </c>
      <c r="G25" s="7" t="str">
        <f t="shared" si="0"/>
        <v>Annual</v>
      </c>
      <c r="H25" s="7" t="str">
        <f t="shared" si="2"/>
        <v>Vrsta_izvjestaja_Godisnji</v>
      </c>
      <c r="I25" s="3">
        <f t="shared" si="1"/>
        <v>1</v>
      </c>
    </row>
    <row r="26" spans="1:9" x14ac:dyDescent="0.3">
      <c r="A26" s="1" t="s">
        <v>234</v>
      </c>
      <c r="B26" s="1" t="s">
        <v>475</v>
      </c>
      <c r="C26" s="1" t="s">
        <v>476</v>
      </c>
      <c r="D26" s="1" t="s">
        <v>477</v>
      </c>
      <c r="E26" s="1" t="s">
        <v>478</v>
      </c>
      <c r="F26" t="s">
        <v>2133</v>
      </c>
      <c r="G26" s="7" t="str">
        <f t="shared" si="0"/>
        <v>Specific</v>
      </c>
      <c r="H26" s="7" t="str">
        <f>SUBSTITUTE(A26&amp;"_"&amp;B26," ","_")</f>
        <v>Vrsta_izvjestaja_Specificni</v>
      </c>
      <c r="I26" s="3">
        <f t="shared" si="1"/>
        <v>1</v>
      </c>
    </row>
    <row r="27" spans="1:9" x14ac:dyDescent="0.3">
      <c r="A27" t="s">
        <v>207</v>
      </c>
      <c r="B27" t="s">
        <v>125</v>
      </c>
      <c r="C27" t="s">
        <v>2747</v>
      </c>
      <c r="D27" t="s">
        <v>2744</v>
      </c>
      <c r="E27" t="s">
        <v>2745</v>
      </c>
      <c r="F27" t="s">
        <v>2746</v>
      </c>
      <c r="G27" t="str">
        <f t="shared" si="0"/>
        <v>ID Number</v>
      </c>
      <c r="H27" t="str">
        <f t="shared" si="2"/>
        <v>Zaglavlje_MB</v>
      </c>
      <c r="I27">
        <f t="shared" si="1"/>
        <v>1</v>
      </c>
    </row>
    <row r="28" spans="1:9" x14ac:dyDescent="0.3">
      <c r="A28" t="s">
        <v>207</v>
      </c>
      <c r="B28" t="s">
        <v>126</v>
      </c>
      <c r="C28" t="s">
        <v>2748</v>
      </c>
      <c r="D28" t="s">
        <v>2749</v>
      </c>
      <c r="E28" t="s">
        <v>2750</v>
      </c>
      <c r="F28" t="s">
        <v>2751</v>
      </c>
      <c r="G28" t="str">
        <f t="shared" si="0"/>
        <v>Code of Industry</v>
      </c>
      <c r="H28" t="str">
        <f t="shared" si="2"/>
        <v>Zaglavlje_Sifra_djelatnosti</v>
      </c>
      <c r="I28">
        <f t="shared" si="1"/>
        <v>1</v>
      </c>
    </row>
    <row r="29" spans="1:9" x14ac:dyDescent="0.3">
      <c r="A29" t="s">
        <v>207</v>
      </c>
      <c r="B29" t="s">
        <v>127</v>
      </c>
      <c r="C29" t="s">
        <v>2772</v>
      </c>
      <c r="D29" t="s">
        <v>2773</v>
      </c>
      <c r="E29" t="s">
        <v>104</v>
      </c>
      <c r="F29" t="s">
        <v>2134</v>
      </c>
      <c r="G29" t="str">
        <f t="shared" si="0"/>
        <v>Company Name:</v>
      </c>
      <c r="H29" t="str">
        <f t="shared" si="2"/>
        <v>Zaglavlje_Naziv_preduzeca</v>
      </c>
      <c r="I29">
        <f t="shared" si="1"/>
        <v>1</v>
      </c>
    </row>
    <row r="30" spans="1:9" x14ac:dyDescent="0.3">
      <c r="A30" t="s">
        <v>207</v>
      </c>
      <c r="B30" t="s">
        <v>128</v>
      </c>
      <c r="C30" t="s">
        <v>102</v>
      </c>
      <c r="D30" t="s">
        <v>113</v>
      </c>
      <c r="E30" t="s">
        <v>103</v>
      </c>
      <c r="F30" t="s">
        <v>2135</v>
      </c>
      <c r="G30" t="str">
        <f t="shared" si="0"/>
        <v>Registered Office:</v>
      </c>
      <c r="H30" t="str">
        <f t="shared" si="2"/>
        <v>Zaglavlje_Sjediste</v>
      </c>
      <c r="I30">
        <f t="shared" si="1"/>
        <v>1</v>
      </c>
    </row>
    <row r="31" spans="1:9" x14ac:dyDescent="0.3">
      <c r="A31" t="s">
        <v>207</v>
      </c>
      <c r="B31" t="s">
        <v>55</v>
      </c>
      <c r="C31" t="s">
        <v>55</v>
      </c>
      <c r="D31" t="s">
        <v>1123</v>
      </c>
      <c r="E31" t="s">
        <v>1124</v>
      </c>
      <c r="F31" t="s">
        <v>2136</v>
      </c>
      <c r="G31" t="str">
        <f t="shared" si="0"/>
        <v>Tax Number</v>
      </c>
      <c r="H31" t="str">
        <f t="shared" si="2"/>
        <v>Zaglavlje_JIB</v>
      </c>
      <c r="I31">
        <f t="shared" si="1"/>
        <v>1</v>
      </c>
    </row>
    <row r="32" spans="1:9" x14ac:dyDescent="0.3">
      <c r="A32" t="s">
        <v>207</v>
      </c>
      <c r="B32" t="s">
        <v>129</v>
      </c>
      <c r="C32" t="s">
        <v>1125</v>
      </c>
      <c r="D32" t="s">
        <v>1126</v>
      </c>
      <c r="E32" t="s">
        <v>107</v>
      </c>
      <c r="F32" t="s">
        <v>2137</v>
      </c>
      <c r="G32" t="str">
        <f t="shared" si="0"/>
        <v>Bank Account Numbers:</v>
      </c>
      <c r="H32" t="str">
        <f t="shared" si="2"/>
        <v>Zaglavlje_Ziro_racun</v>
      </c>
      <c r="I32">
        <f t="shared" si="1"/>
        <v>1</v>
      </c>
    </row>
    <row r="33" spans="1:9" x14ac:dyDescent="0.3">
      <c r="A33" t="s">
        <v>393</v>
      </c>
      <c r="B33" t="s">
        <v>462</v>
      </c>
      <c r="C33" t="s">
        <v>459</v>
      </c>
      <c r="D33" t="s">
        <v>461</v>
      </c>
      <c r="E33" t="s">
        <v>460</v>
      </c>
      <c r="F33" t="s">
        <v>2138</v>
      </c>
      <c r="G33" s="3" t="str">
        <f t="shared" si="0"/>
        <v xml:space="preserve">Report Consolidated </v>
      </c>
      <c r="H33" s="3" t="str">
        <f>SUBSTITUTE(A33&amp;"_"&amp;B33," ","_")</f>
        <v>Konsolidovani_Konsolidavani_Izvjestaj</v>
      </c>
      <c r="I33" s="3">
        <f t="shared" si="1"/>
        <v>1</v>
      </c>
    </row>
    <row r="34" spans="1:9" x14ac:dyDescent="0.3">
      <c r="A34" t="s">
        <v>393</v>
      </c>
      <c r="B34" t="s">
        <v>393</v>
      </c>
      <c r="C34" t="s">
        <v>456</v>
      </c>
      <c r="D34" t="s">
        <v>458</v>
      </c>
      <c r="E34" t="s">
        <v>457</v>
      </c>
      <c r="F34" t="s">
        <v>2139</v>
      </c>
      <c r="G34" s="3" t="str">
        <f t="shared" si="0"/>
        <v>Company included in consolidation</v>
      </c>
      <c r="H34" s="3" t="str">
        <f>SUBSTITUTE(A34&amp;"_"&amp;B34," ","_")</f>
        <v>Konsolidovani_Konsolidovani</v>
      </c>
      <c r="I34" s="3">
        <f t="shared" ref="I34:I65" si="4">COUNTIF($B$2:$B$1034,"="&amp;B34)</f>
        <v>1</v>
      </c>
    </row>
    <row r="35" spans="1:9" x14ac:dyDescent="0.3">
      <c r="A35" t="s">
        <v>208</v>
      </c>
      <c r="B35" t="s">
        <v>63</v>
      </c>
      <c r="C35" t="s">
        <v>696</v>
      </c>
      <c r="D35" t="s">
        <v>114</v>
      </c>
      <c r="E35" t="s">
        <v>54</v>
      </c>
      <c r="F35" t="s">
        <v>2140</v>
      </c>
      <c r="G35" t="str">
        <f t="shared" ref="G35:G70" si="5">CHOOSE( ID_Jezik, C35, D35, E35,F35)</f>
        <v>In</v>
      </c>
      <c r="H35" t="str">
        <f t="shared" si="2"/>
        <v>Podnozje_U</v>
      </c>
      <c r="I35">
        <f t="shared" si="4"/>
        <v>1</v>
      </c>
    </row>
    <row r="36" spans="1:9" x14ac:dyDescent="0.3">
      <c r="A36" t="s">
        <v>208</v>
      </c>
      <c r="B36" t="s">
        <v>64</v>
      </c>
      <c r="C36" t="s">
        <v>1314</v>
      </c>
      <c r="D36" t="s">
        <v>1313</v>
      </c>
      <c r="E36" t="s">
        <v>697</v>
      </c>
      <c r="F36" t="s">
        <v>2141</v>
      </c>
      <c r="G36" t="str">
        <f t="shared" si="5"/>
        <v>Date:</v>
      </c>
      <c r="H36" t="str">
        <f t="shared" si="2"/>
        <v>Podnozje_Dana</v>
      </c>
      <c r="I36">
        <f t="shared" si="4"/>
        <v>1</v>
      </c>
    </row>
    <row r="37" spans="1:9" x14ac:dyDescent="0.3">
      <c r="A37" t="s">
        <v>208</v>
      </c>
      <c r="B37" t="s">
        <v>130</v>
      </c>
      <c r="C37" t="s">
        <v>111</v>
      </c>
      <c r="D37" t="s">
        <v>115</v>
      </c>
      <c r="E37" t="s">
        <v>438</v>
      </c>
      <c r="F37" t="s">
        <v>2142</v>
      </c>
      <c r="G37" t="str">
        <f t="shared" si="5"/>
        <v>Authorized Accountant:</v>
      </c>
      <c r="H37" t="str">
        <f t="shared" si="2"/>
        <v>Podnozje_Lice_sa_licencom</v>
      </c>
      <c r="I37">
        <f t="shared" si="4"/>
        <v>1</v>
      </c>
    </row>
    <row r="38" spans="1:9" x14ac:dyDescent="0.3">
      <c r="A38" t="s">
        <v>208</v>
      </c>
      <c r="B38" t="s">
        <v>436</v>
      </c>
      <c r="C38" t="s">
        <v>402</v>
      </c>
      <c r="D38" t="s">
        <v>437</v>
      </c>
      <c r="E38" t="s">
        <v>698</v>
      </c>
      <c r="F38" t="s">
        <v>2143</v>
      </c>
      <c r="G38" s="3" t="str">
        <f t="shared" si="5"/>
        <v>Licence No.:</v>
      </c>
      <c r="H38" s="3" t="str">
        <f>SUBSTITUTE(A38&amp;"_"&amp;B38," ","_")</f>
        <v>Podnozje_Broj_licence</v>
      </c>
      <c r="I38" s="3">
        <f t="shared" si="4"/>
        <v>1</v>
      </c>
    </row>
    <row r="39" spans="1:9" x14ac:dyDescent="0.3">
      <c r="A39" t="s">
        <v>208</v>
      </c>
      <c r="B39" t="s">
        <v>65</v>
      </c>
      <c r="C39" t="s">
        <v>695</v>
      </c>
      <c r="D39" t="s">
        <v>694</v>
      </c>
      <c r="E39" t="s">
        <v>406</v>
      </c>
      <c r="F39" t="s">
        <v>2144</v>
      </c>
      <c r="G39" t="str">
        <f t="shared" si="5"/>
        <v>CEO:</v>
      </c>
      <c r="H39" t="str">
        <f t="shared" si="2"/>
        <v>Podnozje_Direktor</v>
      </c>
      <c r="I39">
        <f t="shared" si="4"/>
        <v>1</v>
      </c>
    </row>
    <row r="40" spans="1:9" x14ac:dyDescent="0.3">
      <c r="A40" t="s">
        <v>208</v>
      </c>
      <c r="B40" t="s">
        <v>3030</v>
      </c>
      <c r="D40" t="s">
        <v>3026</v>
      </c>
      <c r="E40" t="s">
        <v>3036</v>
      </c>
      <c r="F40">
        <v>1</v>
      </c>
      <c r="G40" t="str">
        <f t="shared" si="5"/>
        <v>Note 1.</v>
      </c>
      <c r="H40" t="str">
        <f>SUBSTITUTE(A40&amp;"_"&amp;B40," ","_")</f>
        <v>Podnozje_Napomena_1.</v>
      </c>
      <c r="I40">
        <f t="shared" si="4"/>
        <v>1</v>
      </c>
    </row>
    <row r="41" spans="1:9" x14ac:dyDescent="0.3">
      <c r="A41" t="s">
        <v>208</v>
      </c>
      <c r="B41" t="s">
        <v>3031</v>
      </c>
      <c r="D41" t="s">
        <v>3027</v>
      </c>
      <c r="E41" t="s">
        <v>3035</v>
      </c>
      <c r="F41">
        <v>2</v>
      </c>
      <c r="G41" t="str">
        <f t="shared" si="5"/>
        <v>Note 2.</v>
      </c>
      <c r="H41" t="str">
        <f>SUBSTITUTE(A41&amp;"_"&amp;B41," ","_")</f>
        <v>Podnozje_Napomena_2.</v>
      </c>
      <c r="I41">
        <f t="shared" si="4"/>
        <v>1</v>
      </c>
    </row>
    <row r="42" spans="1:9" x14ac:dyDescent="0.3">
      <c r="A42" t="s">
        <v>208</v>
      </c>
      <c r="B42" t="s">
        <v>3032</v>
      </c>
      <c r="D42" t="s">
        <v>3028</v>
      </c>
      <c r="E42" t="s">
        <v>3037</v>
      </c>
      <c r="F42">
        <v>3</v>
      </c>
      <c r="G42" t="str">
        <f t="shared" si="5"/>
        <v>Note 3.</v>
      </c>
      <c r="H42" t="str">
        <f>SUBSTITUTE(A42&amp;"_"&amp;B42," ","_")</f>
        <v>Podnozje_Napomena_3.</v>
      </c>
      <c r="I42">
        <f t="shared" si="4"/>
        <v>1</v>
      </c>
    </row>
    <row r="43" spans="1:9" x14ac:dyDescent="0.3">
      <c r="A43" t="s">
        <v>208</v>
      </c>
      <c r="B43" t="s">
        <v>3033</v>
      </c>
      <c r="D43" t="s">
        <v>3029</v>
      </c>
      <c r="E43" t="s">
        <v>3034</v>
      </c>
      <c r="F43">
        <v>4</v>
      </c>
      <c r="G43" t="str">
        <f t="shared" si="5"/>
        <v>Note 4.</v>
      </c>
      <c r="H43" t="str">
        <f>SUBSTITUTE(A43&amp;"_"&amp;B43," ","_")</f>
        <v>Podnozje_Napomena_4.</v>
      </c>
      <c r="I43">
        <f t="shared" si="4"/>
        <v>1</v>
      </c>
    </row>
    <row r="44" spans="1:9" x14ac:dyDescent="0.3">
      <c r="A44" t="s">
        <v>208</v>
      </c>
      <c r="B44" t="s">
        <v>131</v>
      </c>
      <c r="C44" t="s">
        <v>112</v>
      </c>
      <c r="D44" t="s">
        <v>116</v>
      </c>
      <c r="E44" t="s">
        <v>201</v>
      </c>
      <c r="F44" t="s">
        <v>116</v>
      </c>
      <c r="G44" t="str">
        <f t="shared" si="5"/>
        <v>(Stamp)</v>
      </c>
      <c r="H44" t="str">
        <f t="shared" si="2"/>
        <v>Podnozje_MP</v>
      </c>
      <c r="I44">
        <f t="shared" si="4"/>
        <v>1</v>
      </c>
    </row>
    <row r="45" spans="1:9" x14ac:dyDescent="0.3">
      <c r="A45" t="s">
        <v>110</v>
      </c>
      <c r="B45" t="s">
        <v>722</v>
      </c>
      <c r="C45" t="s">
        <v>723</v>
      </c>
      <c r="D45" t="s">
        <v>724</v>
      </c>
      <c r="E45" t="s">
        <v>725</v>
      </c>
      <c r="F45" t="s">
        <v>2145</v>
      </c>
      <c r="G45" s="3" t="str">
        <f t="shared" si="5"/>
        <v xml:space="preserve">Consolidated </v>
      </c>
      <c r="H45" t="str">
        <f t="shared" si="2"/>
        <v>Nazivi_bilansa_Konsolidovani_naziv</v>
      </c>
      <c r="I45">
        <f t="shared" si="4"/>
        <v>1</v>
      </c>
    </row>
    <row r="46" spans="1:9" x14ac:dyDescent="0.3">
      <c r="A46" t="s">
        <v>110</v>
      </c>
      <c r="B46" t="s">
        <v>132</v>
      </c>
      <c r="C46" t="s">
        <v>16</v>
      </c>
      <c r="D46" t="s">
        <v>117</v>
      </c>
      <c r="E46" t="s">
        <v>14</v>
      </c>
      <c r="F46" t="s">
        <v>2146</v>
      </c>
      <c r="G46" t="str">
        <f t="shared" si="5"/>
        <v>Balance Sheet</v>
      </c>
      <c r="H46" t="str">
        <f t="shared" si="2"/>
        <v>Nazivi_bilansa_BS</v>
      </c>
      <c r="I46">
        <f t="shared" si="4"/>
        <v>1</v>
      </c>
    </row>
    <row r="47" spans="1:9" x14ac:dyDescent="0.3">
      <c r="A47" t="s">
        <v>110</v>
      </c>
      <c r="B47" t="s">
        <v>150</v>
      </c>
      <c r="C47" t="s">
        <v>156</v>
      </c>
      <c r="D47" t="s">
        <v>186</v>
      </c>
      <c r="E47" t="s">
        <v>202</v>
      </c>
      <c r="F47" t="s">
        <v>2147</v>
      </c>
      <c r="G47" s="3" t="str">
        <f t="shared" si="5"/>
        <v>(Statement of Financial Position)</v>
      </c>
      <c r="H47" s="3" t="str">
        <f t="shared" si="2"/>
        <v>Nazivi_bilansa_BS1</v>
      </c>
      <c r="I47" s="3">
        <f t="shared" si="4"/>
        <v>1</v>
      </c>
    </row>
    <row r="48" spans="1:9" x14ac:dyDescent="0.3">
      <c r="A48" t="s">
        <v>110</v>
      </c>
      <c r="B48" t="s">
        <v>255</v>
      </c>
      <c r="C48" t="s">
        <v>17</v>
      </c>
      <c r="D48" t="s">
        <v>118</v>
      </c>
      <c r="E48" t="s">
        <v>15</v>
      </c>
      <c r="F48" t="s">
        <v>2148</v>
      </c>
      <c r="G48" t="str">
        <f t="shared" si="5"/>
        <v>Income Statement</v>
      </c>
      <c r="H48" t="str">
        <f t="shared" si="2"/>
        <v>Nazivi_bilansa_BUa</v>
      </c>
      <c r="I48">
        <f t="shared" si="4"/>
        <v>1</v>
      </c>
    </row>
    <row r="49" spans="1:9" x14ac:dyDescent="0.3">
      <c r="A49" t="s">
        <v>110</v>
      </c>
      <c r="B49" t="s">
        <v>263</v>
      </c>
      <c r="C49" t="s">
        <v>154</v>
      </c>
      <c r="D49" t="s">
        <v>187</v>
      </c>
      <c r="E49" t="s">
        <v>309</v>
      </c>
      <c r="F49" t="s">
        <v>2149</v>
      </c>
      <c r="G49" s="3" t="str">
        <f t="shared" si="5"/>
        <v>(Statement of Comprehensive Income)</v>
      </c>
      <c r="H49" s="3" t="str">
        <f t="shared" si="2"/>
        <v>Nazivi_bilansa_BUa1</v>
      </c>
      <c r="I49" s="3">
        <f t="shared" si="4"/>
        <v>1</v>
      </c>
    </row>
    <row r="50" spans="1:9" x14ac:dyDescent="0.3">
      <c r="A50" t="s">
        <v>110</v>
      </c>
      <c r="B50" t="s">
        <v>264</v>
      </c>
      <c r="C50" t="s">
        <v>266</v>
      </c>
      <c r="D50" t="s">
        <v>275</v>
      </c>
      <c r="E50" t="s">
        <v>310</v>
      </c>
      <c r="F50" t="s">
        <v>2150</v>
      </c>
      <c r="G50" s="3" t="str">
        <f t="shared" si="5"/>
        <v>Report</v>
      </c>
      <c r="H50" s="3" t="str">
        <f>SUBSTITUTE(A50&amp;"_"&amp;B50," ","_")</f>
        <v>Nazivi_bilansa_BUb</v>
      </c>
      <c r="I50" s="3">
        <f t="shared" si="4"/>
        <v>1</v>
      </c>
    </row>
    <row r="51" spans="1:9" x14ac:dyDescent="0.3">
      <c r="A51" t="s">
        <v>110</v>
      </c>
      <c r="B51" t="s">
        <v>265</v>
      </c>
      <c r="C51" t="s">
        <v>2236</v>
      </c>
      <c r="D51" t="s">
        <v>2237</v>
      </c>
      <c r="E51" t="s">
        <v>342</v>
      </c>
      <c r="F51" t="s">
        <v>2151</v>
      </c>
      <c r="G51" s="3" t="str">
        <f t="shared" si="5"/>
        <v>on other gains and losses of the period</v>
      </c>
      <c r="H51" s="3" t="str">
        <f>SUBSTITUTE(A51&amp;"_"&amp;B51," ","_")</f>
        <v>Nazivi_bilansa_BUb1</v>
      </c>
      <c r="I51" s="3">
        <f t="shared" si="4"/>
        <v>1</v>
      </c>
    </row>
    <row r="52" spans="1:9" x14ac:dyDescent="0.3">
      <c r="A52" t="s">
        <v>110</v>
      </c>
      <c r="B52" t="s">
        <v>133</v>
      </c>
      <c r="C52" t="s">
        <v>18</v>
      </c>
      <c r="D52" t="s">
        <v>119</v>
      </c>
      <c r="E52" t="s">
        <v>24</v>
      </c>
      <c r="F52" t="s">
        <v>2152</v>
      </c>
      <c r="G52" t="str">
        <f t="shared" si="5"/>
        <v>Cash Flow Statement</v>
      </c>
      <c r="H52" t="str">
        <f t="shared" si="2"/>
        <v>Nazivi_bilansa_BTG</v>
      </c>
      <c r="I52">
        <f t="shared" si="4"/>
        <v>1</v>
      </c>
    </row>
    <row r="53" spans="1:9" x14ac:dyDescent="0.3">
      <c r="A53" t="s">
        <v>110</v>
      </c>
      <c r="B53" t="s">
        <v>153</v>
      </c>
      <c r="C53" t="s">
        <v>155</v>
      </c>
      <c r="D53" t="s">
        <v>188</v>
      </c>
      <c r="E53" t="s">
        <v>311</v>
      </c>
      <c r="F53" t="s">
        <v>2153</v>
      </c>
      <c r="G53" s="3" t="str">
        <f t="shared" si="5"/>
        <v>(Statement of cash flows)</v>
      </c>
      <c r="H53" s="3" t="str">
        <f t="shared" ref="H53:H84" si="6">SUBSTITUTE(A53&amp;"_"&amp;B53," ","_")</f>
        <v>Nazivi_bilansa_BTG1</v>
      </c>
      <c r="I53" s="3">
        <f t="shared" si="4"/>
        <v>1</v>
      </c>
    </row>
    <row r="54" spans="1:9" x14ac:dyDescent="0.3">
      <c r="A54" t="s">
        <v>110</v>
      </c>
      <c r="B54" t="s">
        <v>134</v>
      </c>
      <c r="C54" t="s">
        <v>134</v>
      </c>
      <c r="D54" t="s">
        <v>189</v>
      </c>
      <c r="E54" t="s">
        <v>170</v>
      </c>
      <c r="F54" t="s">
        <v>2154</v>
      </c>
      <c r="G54" t="str">
        <f t="shared" si="5"/>
        <v>Annex</v>
      </c>
      <c r="H54" t="str">
        <f t="shared" si="6"/>
        <v>Nazivi_bilansa_Aneks</v>
      </c>
      <c r="I54">
        <f t="shared" si="4"/>
        <v>1</v>
      </c>
    </row>
    <row r="55" spans="1:9" x14ac:dyDescent="0.3">
      <c r="A55" t="s">
        <v>110</v>
      </c>
      <c r="B55" t="s">
        <v>152</v>
      </c>
      <c r="C55" t="s">
        <v>151</v>
      </c>
      <c r="D55" t="s">
        <v>158</v>
      </c>
      <c r="E55" t="s">
        <v>157</v>
      </c>
      <c r="F55" t="s">
        <v>2155</v>
      </c>
      <c r="G55" s="3" t="str">
        <f t="shared" si="5"/>
        <v>(Additional Financial Report)</v>
      </c>
      <c r="H55" s="3" t="str">
        <f t="shared" si="6"/>
        <v>Nazivi_bilansa_Aneks1</v>
      </c>
      <c r="I55" s="3">
        <f t="shared" si="4"/>
        <v>1</v>
      </c>
    </row>
    <row r="56" spans="1:9" x14ac:dyDescent="0.3">
      <c r="A56" t="s">
        <v>110</v>
      </c>
      <c r="B56" t="s">
        <v>135</v>
      </c>
      <c r="C56" t="s">
        <v>1630</v>
      </c>
      <c r="D56" t="s">
        <v>2238</v>
      </c>
      <c r="E56" t="s">
        <v>28</v>
      </c>
      <c r="F56" t="s">
        <v>2156</v>
      </c>
      <c r="G56" t="str">
        <f t="shared" si="5"/>
        <v>Statement on Changes in Equity</v>
      </c>
      <c r="H56" t="str">
        <f t="shared" si="6"/>
        <v>Nazivi_bilansa_BPK</v>
      </c>
      <c r="I56">
        <f t="shared" si="4"/>
        <v>1</v>
      </c>
    </row>
    <row r="57" spans="1:9" x14ac:dyDescent="0.3">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date 31.12.2022.</v>
      </c>
      <c r="H57" s="3" t="str">
        <f t="shared" si="6"/>
        <v>Datumi_Datum_BS</v>
      </c>
      <c r="I57" s="3">
        <f t="shared" si="4"/>
        <v>1</v>
      </c>
    </row>
    <row r="58" spans="1:9" x14ac:dyDescent="0.3">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from 01.01. to 31.12.2022.</v>
      </c>
      <c r="H58" s="3" t="str">
        <f t="shared" si="6"/>
        <v>Datumi_Datum_BU</v>
      </c>
      <c r="I58" s="3">
        <f t="shared" si="4"/>
        <v>1</v>
      </c>
    </row>
    <row r="59" spans="1:9" x14ac:dyDescent="0.3">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from 01.01. to 31.12.2022.</v>
      </c>
      <c r="H59" s="3" t="str">
        <f t="shared" si="6"/>
        <v>Datumi_Datum_BTG</v>
      </c>
      <c r="I59" s="3">
        <f t="shared" si="4"/>
        <v>1</v>
      </c>
    </row>
    <row r="60" spans="1:9" x14ac:dyDescent="0.3">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from 01.01. to 31.12.2022.</v>
      </c>
      <c r="H60" s="3" t="str">
        <f t="shared" si="6"/>
        <v>Datumi_Datum_ODGP</v>
      </c>
      <c r="I60" s="3">
        <f t="shared" si="4"/>
        <v>1</v>
      </c>
    </row>
    <row r="61" spans="1:9" x14ac:dyDescent="0.3">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from 01.01. to 31.12.2022.</v>
      </c>
      <c r="H61" s="3" t="str">
        <f t="shared" si="6"/>
        <v>Datumi_Datum_Aneks</v>
      </c>
      <c r="I61" s="3">
        <f t="shared" si="4"/>
        <v>1</v>
      </c>
    </row>
    <row r="62" spans="1:9" x14ac:dyDescent="0.3">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for period ending 31.12.2022.</v>
      </c>
      <c r="H62" s="3" t="str">
        <f t="shared" si="6"/>
        <v>Datumi_Datum_BPK</v>
      </c>
      <c r="I62" s="3">
        <f t="shared" si="4"/>
        <v>1</v>
      </c>
    </row>
    <row r="63" spans="1:9" x14ac:dyDescent="0.3">
      <c r="A63" t="s">
        <v>161</v>
      </c>
      <c r="B63" t="s">
        <v>167</v>
      </c>
      <c r="C63" t="s">
        <v>171</v>
      </c>
      <c r="D63" t="s">
        <v>190</v>
      </c>
      <c r="E63" t="s">
        <v>203</v>
      </c>
      <c r="F63" t="s">
        <v>2157</v>
      </c>
      <c r="G63" s="3" t="str">
        <f t="shared" si="5"/>
        <v>Instructions</v>
      </c>
      <c r="H63" s="3" t="str">
        <f t="shared" si="6"/>
        <v>Linkovi_Link_Uputstvo</v>
      </c>
      <c r="I63" s="3">
        <f t="shared" si="4"/>
        <v>1</v>
      </c>
    </row>
    <row r="64" spans="1:9" x14ac:dyDescent="0.3">
      <c r="A64" t="s">
        <v>161</v>
      </c>
      <c r="B64" t="s">
        <v>168</v>
      </c>
      <c r="C64" t="s">
        <v>172</v>
      </c>
      <c r="D64" t="s">
        <v>191</v>
      </c>
      <c r="E64" t="s">
        <v>204</v>
      </c>
      <c r="F64" t="s">
        <v>2158</v>
      </c>
      <c r="G64" s="3" t="str">
        <f t="shared" si="5"/>
        <v>Basic Data</v>
      </c>
      <c r="H64" s="3" t="str">
        <f t="shared" si="6"/>
        <v>Linkovi_Link_Osnovni_podaci</v>
      </c>
      <c r="I64" s="3">
        <f t="shared" si="4"/>
        <v>1</v>
      </c>
    </row>
    <row r="65" spans="1:9" x14ac:dyDescent="0.3">
      <c r="A65" t="s">
        <v>161</v>
      </c>
      <c r="B65" t="s">
        <v>162</v>
      </c>
      <c r="C65" t="s">
        <v>315</v>
      </c>
      <c r="D65" t="s">
        <v>321</v>
      </c>
      <c r="E65" t="s">
        <v>327</v>
      </c>
      <c r="F65" t="s">
        <v>2159</v>
      </c>
      <c r="G65" s="3" t="str">
        <f t="shared" si="5"/>
        <v>01) Balance Sheet</v>
      </c>
      <c r="H65" s="3" t="str">
        <f t="shared" si="6"/>
        <v>Linkovi_Link_BS</v>
      </c>
      <c r="I65" s="3">
        <f t="shared" si="4"/>
        <v>1</v>
      </c>
    </row>
    <row r="66" spans="1:9" x14ac:dyDescent="0.3">
      <c r="A66" t="s">
        <v>161</v>
      </c>
      <c r="B66" t="s">
        <v>163</v>
      </c>
      <c r="C66" t="s">
        <v>316</v>
      </c>
      <c r="D66" t="s">
        <v>322</v>
      </c>
      <c r="E66" t="s">
        <v>328</v>
      </c>
      <c r="F66" t="s">
        <v>2160</v>
      </c>
      <c r="G66" s="3" t="str">
        <f t="shared" si="5"/>
        <v>02a) Income Statement</v>
      </c>
      <c r="H66" s="3" t="str">
        <f t="shared" si="6"/>
        <v>Linkovi_Link_BU</v>
      </c>
      <c r="I66" s="3">
        <f t="shared" ref="I66:I97" si="7">COUNTIF($B$2:$B$1034,"="&amp;B66)</f>
        <v>1</v>
      </c>
    </row>
    <row r="67" spans="1:9" x14ac:dyDescent="0.3">
      <c r="A67" t="s">
        <v>161</v>
      </c>
      <c r="B67" t="s">
        <v>165</v>
      </c>
      <c r="C67" t="s">
        <v>317</v>
      </c>
      <c r="D67" t="s">
        <v>323</v>
      </c>
      <c r="E67" t="s">
        <v>343</v>
      </c>
      <c r="F67" t="s">
        <v>2161</v>
      </c>
      <c r="G67" s="3" t="str">
        <f t="shared" si="5"/>
        <v xml:space="preserve">02b) Report on other gains and losses of the period </v>
      </c>
      <c r="H67" s="3" t="str">
        <f t="shared" si="6"/>
        <v>Linkovi_Link_ODGP</v>
      </c>
      <c r="I67" s="3">
        <f t="shared" si="7"/>
        <v>1</v>
      </c>
    </row>
    <row r="68" spans="1:9" x14ac:dyDescent="0.3">
      <c r="A68" t="s">
        <v>161</v>
      </c>
      <c r="B68" t="s">
        <v>164</v>
      </c>
      <c r="C68" t="s">
        <v>318</v>
      </c>
      <c r="D68" t="s">
        <v>324</v>
      </c>
      <c r="E68" t="s">
        <v>329</v>
      </c>
      <c r="F68" t="s">
        <v>2162</v>
      </c>
      <c r="G68" s="3" t="str">
        <f t="shared" si="5"/>
        <v>03) Cash Flow Statement</v>
      </c>
      <c r="H68" s="3" t="str">
        <f t="shared" si="6"/>
        <v>Linkovi_Link_BTG</v>
      </c>
      <c r="I68" s="3">
        <f t="shared" si="7"/>
        <v>1</v>
      </c>
    </row>
    <row r="69" spans="1:9" x14ac:dyDescent="0.3">
      <c r="A69" t="s">
        <v>161</v>
      </c>
      <c r="B69" t="s">
        <v>169</v>
      </c>
      <c r="C69" t="s">
        <v>319</v>
      </c>
      <c r="D69" t="s">
        <v>325</v>
      </c>
      <c r="E69" t="s">
        <v>330</v>
      </c>
      <c r="F69" t="s">
        <v>2163</v>
      </c>
      <c r="G69" s="3" t="str">
        <f t="shared" si="5"/>
        <v>04) Annex</v>
      </c>
      <c r="H69" s="3" t="str">
        <f t="shared" si="6"/>
        <v>Linkovi_Link_Aneks</v>
      </c>
      <c r="I69" s="3">
        <f t="shared" si="7"/>
        <v>1</v>
      </c>
    </row>
    <row r="70" spans="1:9" x14ac:dyDescent="0.3">
      <c r="A70" t="s">
        <v>161</v>
      </c>
      <c r="B70" t="s">
        <v>166</v>
      </c>
      <c r="C70" t="s">
        <v>320</v>
      </c>
      <c r="D70" t="s">
        <v>326</v>
      </c>
      <c r="E70" t="s">
        <v>331</v>
      </c>
      <c r="F70" t="s">
        <v>2164</v>
      </c>
      <c r="G70" s="3" t="str">
        <f t="shared" si="5"/>
        <v>05) Statement on Changes in Equity</v>
      </c>
      <c r="H70" s="3" t="str">
        <f t="shared" si="6"/>
        <v>Linkovi_Link_BPK</v>
      </c>
      <c r="I70" s="3">
        <f t="shared" si="7"/>
        <v>1</v>
      </c>
    </row>
    <row r="71" spans="1:9" x14ac:dyDescent="0.3">
      <c r="A71" t="s">
        <v>262</v>
      </c>
      <c r="B71" t="s">
        <v>137</v>
      </c>
      <c r="C71" t="s">
        <v>68</v>
      </c>
      <c r="D71" t="s">
        <v>192</v>
      </c>
      <c r="E71" t="s">
        <v>19</v>
      </c>
      <c r="F71" t="s">
        <v>2165</v>
      </c>
      <c r="G71" s="3" t="str">
        <f t="shared" ref="G71:G102" si="8">CHOOSE( ID_Jezik, C71, D71, E71,F71)</f>
        <v>Group and part of group of accounts</v>
      </c>
      <c r="H71" s="3" t="str">
        <f t="shared" si="6"/>
        <v>Tabele_zaglavlje_Grupa_racuna</v>
      </c>
      <c r="I71">
        <f t="shared" si="7"/>
        <v>1</v>
      </c>
    </row>
    <row r="72" spans="1:9" x14ac:dyDescent="0.3">
      <c r="A72" t="s">
        <v>262</v>
      </c>
      <c r="B72" t="s">
        <v>138</v>
      </c>
      <c r="C72" t="s">
        <v>691</v>
      </c>
      <c r="D72" t="s">
        <v>692</v>
      </c>
      <c r="E72" t="s">
        <v>693</v>
      </c>
      <c r="F72" t="s">
        <v>2166</v>
      </c>
      <c r="G72" s="3" t="str">
        <f t="shared" si="8"/>
        <v>ITEM</v>
      </c>
      <c r="H72" s="3" t="str">
        <f t="shared" si="6"/>
        <v>Tabele_zaglavlje_Pozicija</v>
      </c>
      <c r="I72">
        <f t="shared" si="7"/>
        <v>1</v>
      </c>
    </row>
    <row r="73" spans="1:9" x14ac:dyDescent="0.3">
      <c r="A73" t="s">
        <v>262</v>
      </c>
      <c r="B73" t="s">
        <v>971</v>
      </c>
      <c r="C73" t="s">
        <v>971</v>
      </c>
      <c r="D73" t="s">
        <v>972</v>
      </c>
      <c r="E73" t="s">
        <v>973</v>
      </c>
      <c r="F73" t="s">
        <v>2195</v>
      </c>
      <c r="G73" s="3" t="str">
        <f>CHOOSE( ID_Jezik, C73, D73, E73,F73)</f>
        <v>Note</v>
      </c>
      <c r="H73" s="3" t="str">
        <f>SUBSTITUTE(A73&amp;"_"&amp;B73," ","_")</f>
        <v>Tabele_zaglavlje_Napomena</v>
      </c>
      <c r="I73">
        <f t="shared" si="7"/>
        <v>1</v>
      </c>
    </row>
    <row r="74" spans="1:9" x14ac:dyDescent="0.3">
      <c r="A74" t="s">
        <v>262</v>
      </c>
      <c r="B74" t="s">
        <v>139</v>
      </c>
      <c r="C74" t="s">
        <v>56</v>
      </c>
      <c r="D74" t="s">
        <v>193</v>
      </c>
      <c r="E74" t="s">
        <v>74</v>
      </c>
      <c r="F74" t="s">
        <v>2196</v>
      </c>
      <c r="G74" s="3" t="str">
        <f t="shared" si="8"/>
        <v>AOP</v>
      </c>
      <c r="H74" s="3" t="str">
        <f t="shared" si="6"/>
        <v>Tabele_zaglavlje_Oznaka_aop</v>
      </c>
      <c r="I74">
        <f t="shared" si="7"/>
        <v>1</v>
      </c>
    </row>
    <row r="75" spans="1:9" x14ac:dyDescent="0.3">
      <c r="A75" t="s">
        <v>262</v>
      </c>
      <c r="B75" t="s">
        <v>269</v>
      </c>
      <c r="C75" t="s">
        <v>270</v>
      </c>
      <c r="D75" t="s">
        <v>276</v>
      </c>
      <c r="E75" t="s">
        <v>271</v>
      </c>
      <c r="F75" t="s">
        <v>2167</v>
      </c>
      <c r="G75" s="3" t="str">
        <f t="shared" si="8"/>
        <v>Number</v>
      </c>
      <c r="H75" s="3" t="str">
        <f>SUBSTITUTE(A75&amp;"_"&amp;B75," ","_")</f>
        <v>Tabele_zaglavlje_Redni_broj</v>
      </c>
      <c r="I75" s="3">
        <f t="shared" si="7"/>
        <v>1</v>
      </c>
    </row>
    <row r="76" spans="1:9" x14ac:dyDescent="0.3">
      <c r="A76" t="s">
        <v>262</v>
      </c>
      <c r="B76" t="s">
        <v>142</v>
      </c>
      <c r="C76" t="s">
        <v>79</v>
      </c>
      <c r="D76" t="s">
        <v>194</v>
      </c>
      <c r="E76" t="s">
        <v>75</v>
      </c>
      <c r="F76" t="s">
        <v>2168</v>
      </c>
      <c r="G76" s="3" t="str">
        <f t="shared" si="8"/>
        <v>Current Year Amounts</v>
      </c>
      <c r="H76" s="3" t="str">
        <f t="shared" si="6"/>
        <v>Tabele_zaglavlje_BS_iznos_tekuca</v>
      </c>
      <c r="I76">
        <f t="shared" si="7"/>
        <v>1</v>
      </c>
    </row>
    <row r="77" spans="1:9" x14ac:dyDescent="0.3">
      <c r="A77" t="s">
        <v>262</v>
      </c>
      <c r="B77" t="s">
        <v>258</v>
      </c>
      <c r="C77" t="s">
        <v>69</v>
      </c>
      <c r="D77" t="s">
        <v>195</v>
      </c>
      <c r="E77" t="s">
        <v>77</v>
      </c>
      <c r="F77" t="s">
        <v>2169</v>
      </c>
      <c r="G77" s="3" t="str">
        <f t="shared" si="8"/>
        <v>Gross</v>
      </c>
      <c r="H77" s="3" t="str">
        <f t="shared" si="6"/>
        <v>Tabele_zaglavlje_BS_bruto</v>
      </c>
      <c r="I77">
        <f t="shared" si="7"/>
        <v>1</v>
      </c>
    </row>
    <row r="78" spans="1:9" x14ac:dyDescent="0.3">
      <c r="A78" t="s">
        <v>262</v>
      </c>
      <c r="B78" t="s">
        <v>259</v>
      </c>
      <c r="C78" t="s">
        <v>70</v>
      </c>
      <c r="D78" t="s">
        <v>196</v>
      </c>
      <c r="E78" t="s">
        <v>78</v>
      </c>
      <c r="F78" t="s">
        <v>2170</v>
      </c>
      <c r="G78" s="3" t="str">
        <f t="shared" si="8"/>
        <v>Allowance</v>
      </c>
      <c r="H78" s="3" t="str">
        <f t="shared" si="6"/>
        <v>Tabele_zaglavlje_BS_ispravka</v>
      </c>
      <c r="I78">
        <f t="shared" si="7"/>
        <v>1</v>
      </c>
    </row>
    <row r="79" spans="1:9" x14ac:dyDescent="0.3">
      <c r="A79" t="s">
        <v>262</v>
      </c>
      <c r="B79" t="s">
        <v>141</v>
      </c>
      <c r="C79" t="s">
        <v>2870</v>
      </c>
      <c r="D79" t="s">
        <v>2867</v>
      </c>
      <c r="E79" t="s">
        <v>2868</v>
      </c>
      <c r="F79" t="s">
        <v>2869</v>
      </c>
      <c r="G79" s="3" t="str">
        <f t="shared" si="8"/>
        <v>Net (5-6)</v>
      </c>
      <c r="H79" s="3" t="str">
        <f t="shared" si="6"/>
        <v>Tabele_zaglavlje_BS_neto</v>
      </c>
      <c r="I79">
        <f t="shared" si="7"/>
        <v>1</v>
      </c>
    </row>
    <row r="80" spans="1:9" x14ac:dyDescent="0.3">
      <c r="A80" t="s">
        <v>262</v>
      </c>
      <c r="B80" t="s">
        <v>143</v>
      </c>
      <c r="C80" t="s">
        <v>488</v>
      </c>
      <c r="D80" t="s">
        <v>489</v>
      </c>
      <c r="E80" t="s">
        <v>76</v>
      </c>
      <c r="F80" t="s">
        <v>2171</v>
      </c>
      <c r="G80" s="3" t="str">
        <f t="shared" si="8"/>
        <v>Previous Year (Opening Balance)</v>
      </c>
      <c r="H80" s="3" t="str">
        <f t="shared" si="6"/>
        <v>Tabele_zaglavlje_BS_iznos_prethodna</v>
      </c>
      <c r="I80">
        <f t="shared" si="7"/>
        <v>1</v>
      </c>
    </row>
    <row r="81" spans="1:9" x14ac:dyDescent="0.3">
      <c r="A81" t="s">
        <v>262</v>
      </c>
      <c r="B81" t="s">
        <v>60</v>
      </c>
      <c r="C81" t="s">
        <v>60</v>
      </c>
      <c r="D81" t="s">
        <v>197</v>
      </c>
      <c r="E81" t="s">
        <v>50</v>
      </c>
      <c r="F81" t="s">
        <v>2172</v>
      </c>
      <c r="G81" s="3" t="str">
        <f t="shared" si="8"/>
        <v>Amount</v>
      </c>
      <c r="H81" s="3" t="str">
        <f t="shared" si="6"/>
        <v>Tabele_zaglavlje_Iznos</v>
      </c>
      <c r="I81" s="3">
        <f t="shared" si="7"/>
        <v>1</v>
      </c>
    </row>
    <row r="82" spans="1:9" x14ac:dyDescent="0.3">
      <c r="A82" t="s">
        <v>262</v>
      </c>
      <c r="B82" t="s">
        <v>145</v>
      </c>
      <c r="C82" t="s">
        <v>61</v>
      </c>
      <c r="D82" t="s">
        <v>198</v>
      </c>
      <c r="E82" t="s">
        <v>51</v>
      </c>
      <c r="F82" t="s">
        <v>2173</v>
      </c>
      <c r="G82" s="3" t="str">
        <f t="shared" si="8"/>
        <v>Current Year</v>
      </c>
      <c r="H82" s="3" t="str">
        <f t="shared" si="6"/>
        <v>Tabele_zaglavlje_Tekuca_godina</v>
      </c>
      <c r="I82">
        <f t="shared" si="7"/>
        <v>1</v>
      </c>
    </row>
    <row r="83" spans="1:9" x14ac:dyDescent="0.3">
      <c r="A83" t="s">
        <v>262</v>
      </c>
      <c r="B83" t="s">
        <v>146</v>
      </c>
      <c r="C83" t="s">
        <v>62</v>
      </c>
      <c r="D83" t="s">
        <v>199</v>
      </c>
      <c r="E83" t="s">
        <v>52</v>
      </c>
      <c r="F83" t="s">
        <v>2174</v>
      </c>
      <c r="G83" s="3" t="str">
        <f t="shared" si="8"/>
        <v>Previous Year</v>
      </c>
      <c r="H83" s="3" t="str">
        <f t="shared" si="6"/>
        <v>Tabele_zaglavlje_Prethodna_godina</v>
      </c>
      <c r="I83">
        <f t="shared" si="7"/>
        <v>1</v>
      </c>
    </row>
    <row r="84" spans="1:9" x14ac:dyDescent="0.3">
      <c r="A84" t="s">
        <v>262</v>
      </c>
      <c r="B84" t="s">
        <v>144</v>
      </c>
      <c r="C84" s="4" t="s">
        <v>140</v>
      </c>
      <c r="D84" s="4" t="s">
        <v>200</v>
      </c>
      <c r="E84" s="4" t="s">
        <v>205</v>
      </c>
      <c r="F84" t="s">
        <v>2175</v>
      </c>
      <c r="G84" s="3" t="str">
        <f t="shared" si="8"/>
        <v>- in BAM -</v>
      </c>
      <c r="H84" s="3" t="str">
        <f t="shared" si="6"/>
        <v>Tabele_zaglavlje_Valuta</v>
      </c>
      <c r="I84">
        <f t="shared" si="7"/>
        <v>1</v>
      </c>
    </row>
    <row r="85" spans="1:9" x14ac:dyDescent="0.3">
      <c r="A85" t="s">
        <v>262</v>
      </c>
      <c r="B85" t="s">
        <v>287</v>
      </c>
      <c r="C85" t="s">
        <v>2203</v>
      </c>
      <c r="D85" s="252" t="s">
        <v>2226</v>
      </c>
      <c r="E85" t="s">
        <v>288</v>
      </c>
      <c r="F85" t="s">
        <v>2176</v>
      </c>
      <c r="G85" s="3" t="str">
        <f t="shared" si="8"/>
        <v xml:space="preserve">Share in shareholders’ equity that belongs to owners of parent company </v>
      </c>
      <c r="H85" s="3" t="str">
        <f>SUBSTITUTE(A85&amp;"_"&amp;B85," ","_")</f>
        <v>Tabele_zaglavlje_BPK0</v>
      </c>
      <c r="I85" s="3">
        <f t="shared" si="7"/>
        <v>1</v>
      </c>
    </row>
    <row r="86" spans="1:9" ht="60.75" customHeight="1" x14ac:dyDescent="0.3">
      <c r="A86" t="s">
        <v>262</v>
      </c>
      <c r="B86" t="s">
        <v>278</v>
      </c>
      <c r="C86" t="s">
        <v>1592</v>
      </c>
      <c r="D86" s="252" t="s">
        <v>2227</v>
      </c>
      <c r="E86" t="s">
        <v>289</v>
      </c>
      <c r="F86" t="s">
        <v>2177</v>
      </c>
      <c r="G86" s="3" t="str">
        <f t="shared" si="8"/>
        <v>Type of change in equity</v>
      </c>
      <c r="H86" s="3" t="str">
        <f t="shared" ref="H86:H96" si="9">SUBSTITUTE(A86&amp;"_"&amp;B86," ","_")</f>
        <v>Tabele_zaglavlje_BPK1</v>
      </c>
      <c r="I86" s="3">
        <f t="shared" si="7"/>
        <v>1</v>
      </c>
    </row>
    <row r="87" spans="1:9" ht="45" customHeight="1" x14ac:dyDescent="0.3">
      <c r="A87" t="s">
        <v>262</v>
      </c>
      <c r="B87" t="s">
        <v>279</v>
      </c>
      <c r="C87" s="249" t="s">
        <v>1593</v>
      </c>
      <c r="D87" s="251" t="s">
        <v>2228</v>
      </c>
      <c r="E87" t="s">
        <v>290</v>
      </c>
      <c r="F87" t="s">
        <v>2178</v>
      </c>
      <c r="G87" s="3" t="str">
        <f t="shared" si="8"/>
        <v>Shareholders’ equity and stakes in limited liability companies</v>
      </c>
      <c r="H87" s="3" t="str">
        <f t="shared" si="9"/>
        <v>Tabele_zaglavlje_BPK3</v>
      </c>
      <c r="I87" s="3">
        <f t="shared" si="7"/>
        <v>1</v>
      </c>
    </row>
    <row r="88" spans="1:9" ht="45" customHeight="1" x14ac:dyDescent="0.3">
      <c r="A88" t="s">
        <v>262</v>
      </c>
      <c r="B88" t="s">
        <v>280</v>
      </c>
      <c r="C88" s="247" t="s">
        <v>1594</v>
      </c>
      <c r="D88" s="252" t="s">
        <v>2229</v>
      </c>
      <c r="E88" s="247" t="s">
        <v>2862</v>
      </c>
      <c r="F88" t="s">
        <v>2179</v>
      </c>
      <c r="G88" s="3" t="str">
        <f t="shared" ref="G88:G93" si="10">CHOOSE( ID_Jezik, C88, D88, E88,F88)</f>
        <v xml:space="preserve">Issuance Premium </v>
      </c>
      <c r="H88" s="3" t="str">
        <f t="shared" si="9"/>
        <v>Tabele_zaglavlje_BPK4</v>
      </c>
      <c r="I88" s="3">
        <f t="shared" si="7"/>
        <v>1</v>
      </c>
    </row>
    <row r="89" spans="1:9" ht="45" customHeight="1" x14ac:dyDescent="0.3">
      <c r="A89" t="s">
        <v>262</v>
      </c>
      <c r="B89" t="s">
        <v>281</v>
      </c>
      <c r="C89" s="247" t="s">
        <v>1595</v>
      </c>
      <c r="D89" s="252" t="s">
        <v>2230</v>
      </c>
      <c r="E89" s="247" t="s">
        <v>2861</v>
      </c>
      <c r="F89" t="s">
        <v>2180</v>
      </c>
      <c r="G89" s="3" t="str">
        <f t="shared" si="10"/>
        <v>Reserves</v>
      </c>
      <c r="H89" s="3" t="str">
        <f t="shared" si="9"/>
        <v>Tabele_zaglavlje_BPK5</v>
      </c>
      <c r="I89" s="3">
        <f t="shared" si="7"/>
        <v>1</v>
      </c>
    </row>
    <row r="90" spans="1:9" ht="35.25" customHeight="1" x14ac:dyDescent="0.3">
      <c r="A90" t="s">
        <v>262</v>
      </c>
      <c r="B90" t="s">
        <v>282</v>
      </c>
      <c r="C90" s="248" t="s">
        <v>1596</v>
      </c>
      <c r="D90" s="253" t="s">
        <v>2231</v>
      </c>
      <c r="E90" s="247" t="s">
        <v>291</v>
      </c>
      <c r="F90" t="s">
        <v>2181</v>
      </c>
      <c r="G90" s="3" t="str">
        <f t="shared" si="10"/>
        <v xml:space="preserve">Revaluation reserve </v>
      </c>
      <c r="H90" s="3" t="str">
        <f t="shared" si="9"/>
        <v>Tabele_zaglavlje_BPK6</v>
      </c>
      <c r="I90" s="3">
        <f t="shared" si="7"/>
        <v>1</v>
      </c>
    </row>
    <row r="91" spans="1:9" ht="43.8" x14ac:dyDescent="0.3">
      <c r="A91" t="s">
        <v>262</v>
      </c>
      <c r="B91" t="s">
        <v>283</v>
      </c>
      <c r="C91" s="248" t="s">
        <v>2918</v>
      </c>
      <c r="D91" s="253" t="s">
        <v>2919</v>
      </c>
      <c r="E91" s="247" t="s">
        <v>29</v>
      </c>
      <c r="F91" t="s">
        <v>2182</v>
      </c>
      <c r="G91" s="3" t="str">
        <f t="shared" si="10"/>
        <v>Unrealized gains/losses arising from financial assets available for sale</v>
      </c>
      <c r="H91" s="3" t="str">
        <f t="shared" si="9"/>
        <v>Tabele_zaglavlje_BPK7</v>
      </c>
      <c r="I91" s="3">
        <f t="shared" si="7"/>
        <v>1</v>
      </c>
    </row>
    <row r="92" spans="1:9" ht="23.4" x14ac:dyDescent="0.3">
      <c r="A92" t="s">
        <v>262</v>
      </c>
      <c r="B92" t="s">
        <v>284</v>
      </c>
      <c r="C92" s="248" t="s">
        <v>1597</v>
      </c>
      <c r="D92" s="253" t="s">
        <v>2232</v>
      </c>
      <c r="E92" s="247" t="s">
        <v>292</v>
      </c>
      <c r="F92" t="s">
        <v>2662</v>
      </c>
      <c r="G92" s="3" t="str">
        <f t="shared" si="10"/>
        <v>Other reserves (issuance premium, legal and statutory reserves, cash flow protection)</v>
      </c>
      <c r="H92" s="3" t="str">
        <f>SUBSTITUTE(A92&amp;"_"&amp;B92," ","_")</f>
        <v>Tabele_zaglavlje_BPK8</v>
      </c>
      <c r="I92" s="3">
        <f t="shared" si="7"/>
        <v>1</v>
      </c>
    </row>
    <row r="93" spans="1:9" ht="25.2" x14ac:dyDescent="0.3">
      <c r="A93" t="s">
        <v>262</v>
      </c>
      <c r="B93" t="s">
        <v>285</v>
      </c>
      <c r="C93" s="248" t="s">
        <v>1629</v>
      </c>
      <c r="D93" s="253" t="s">
        <v>2233</v>
      </c>
      <c r="E93" s="247" t="s">
        <v>293</v>
      </c>
      <c r="F93" t="s">
        <v>2663</v>
      </c>
      <c r="G93" s="3" t="str">
        <f t="shared" si="10"/>
        <v xml:space="preserve">Retained earnings / uncovered loss </v>
      </c>
      <c r="H93" s="3" t="str">
        <f>SUBSTITUTE(A93&amp;"_"&amp;B93," ","_")</f>
        <v>Tabele_zaglavlje_BPK9</v>
      </c>
      <c r="I93" s="3">
        <f t="shared" si="7"/>
        <v>1</v>
      </c>
    </row>
    <row r="94" spans="1:9" ht="27.6" x14ac:dyDescent="0.3">
      <c r="A94" t="s">
        <v>262</v>
      </c>
      <c r="B94" t="s">
        <v>286</v>
      </c>
      <c r="C94" s="249" t="s">
        <v>2246</v>
      </c>
      <c r="D94" s="251" t="s">
        <v>2245</v>
      </c>
      <c r="E94" s="183" t="s">
        <v>2248</v>
      </c>
      <c r="F94" s="183" t="s">
        <v>2247</v>
      </c>
      <c r="G94" s="3" t="str">
        <f t="shared" si="8"/>
        <v>Total 
(3+4+5+6±7± 8 ± 9)</v>
      </c>
      <c r="H94" s="3" t="str">
        <f t="shared" si="9"/>
        <v>Tabele_zaglavlje_BPK10</v>
      </c>
      <c r="I94" s="3">
        <f t="shared" si="7"/>
        <v>1</v>
      </c>
    </row>
    <row r="95" spans="1:9" x14ac:dyDescent="0.3">
      <c r="A95" t="s">
        <v>262</v>
      </c>
      <c r="B95" t="s">
        <v>1598</v>
      </c>
      <c r="C95" t="s">
        <v>2920</v>
      </c>
      <c r="D95" s="252" t="s">
        <v>2921</v>
      </c>
      <c r="E95" t="s">
        <v>294</v>
      </c>
      <c r="F95" t="s">
        <v>2183</v>
      </c>
      <c r="G95" s="3" t="str">
        <f t="shared" si="8"/>
        <v>Minority interest</v>
      </c>
      <c r="H95" s="3" t="str">
        <f t="shared" si="9"/>
        <v>Tabele_zaglavlje_BPK11</v>
      </c>
      <c r="I95" s="3">
        <f t="shared" si="7"/>
        <v>1</v>
      </c>
    </row>
    <row r="96" spans="1:9" ht="27.6" x14ac:dyDescent="0.3">
      <c r="A96" t="s">
        <v>262</v>
      </c>
      <c r="B96" t="s">
        <v>1599</v>
      </c>
      <c r="C96" s="183" t="s">
        <v>1628</v>
      </c>
      <c r="D96" s="251" t="s">
        <v>2234</v>
      </c>
      <c r="E96" t="s">
        <v>295</v>
      </c>
      <c r="F96" t="s">
        <v>2184</v>
      </c>
      <c r="G96" s="3" t="str">
        <f t="shared" si="8"/>
        <v>TOTAL EQUITY</v>
      </c>
      <c r="H96" s="3" t="str">
        <f t="shared" si="9"/>
        <v>Tabele_zaglavlje_BPK12</v>
      </c>
      <c r="I96" s="3">
        <f t="shared" si="7"/>
        <v>1</v>
      </c>
    </row>
    <row r="97" spans="1:9" x14ac:dyDescent="0.3">
      <c r="A97" t="s">
        <v>417</v>
      </c>
      <c r="B97" t="s">
        <v>419</v>
      </c>
      <c r="C97" t="s">
        <v>472</v>
      </c>
      <c r="D97" t="s">
        <v>473</v>
      </c>
      <c r="E97" t="s">
        <v>499</v>
      </c>
      <c r="F97" t="s">
        <v>2185</v>
      </c>
      <c r="G97" s="3" t="str">
        <f t="shared" si="8"/>
        <v>Required Field!</v>
      </c>
      <c r="H97" s="3" t="str">
        <f t="shared" ref="H97:H106" si="11">SUBSTITUTE(A97&amp;"_"&amp;B97," ","_")</f>
        <v>Kontrola_Obavezno</v>
      </c>
      <c r="I97" s="3">
        <f t="shared" si="7"/>
        <v>1</v>
      </c>
    </row>
    <row r="98" spans="1:9" x14ac:dyDescent="0.3">
      <c r="A98" t="s">
        <v>417</v>
      </c>
      <c r="B98" t="s">
        <v>420</v>
      </c>
      <c r="C98" t="s">
        <v>418</v>
      </c>
      <c r="D98" t="s">
        <v>421</v>
      </c>
      <c r="E98" t="s">
        <v>422</v>
      </c>
      <c r="F98" t="s">
        <v>2186</v>
      </c>
      <c r="G98" s="3" t="str">
        <f t="shared" si="8"/>
        <v>Incorrect Data Entry!</v>
      </c>
      <c r="H98" s="3" t="str">
        <f t="shared" si="11"/>
        <v>Kontrola_Neispravno</v>
      </c>
      <c r="I98" s="3">
        <f t="shared" ref="I98:I109" si="12">COUNTIF($B$2:$B$1034,"="&amp;B98)</f>
        <v>1</v>
      </c>
    </row>
    <row r="99" spans="1:9" x14ac:dyDescent="0.3">
      <c r="A99" t="s">
        <v>445</v>
      </c>
      <c r="B99" t="s">
        <v>446</v>
      </c>
      <c r="C99" t="s">
        <v>398</v>
      </c>
      <c r="D99" t="s">
        <v>439</v>
      </c>
      <c r="E99" t="s">
        <v>407</v>
      </c>
      <c r="F99" t="s">
        <v>2187</v>
      </c>
      <c r="G99" s="3" t="str">
        <f t="shared" si="8"/>
        <v>Audited Report</v>
      </c>
      <c r="H99" s="3" t="str">
        <f t="shared" si="11"/>
        <v>Revizija_Revidiran_izvjestaj</v>
      </c>
      <c r="I99" s="3">
        <f t="shared" si="12"/>
        <v>1</v>
      </c>
    </row>
    <row r="100" spans="1:9" x14ac:dyDescent="0.3">
      <c r="A100" t="s">
        <v>445</v>
      </c>
      <c r="B100" t="s">
        <v>447</v>
      </c>
      <c r="C100" t="s">
        <v>463</v>
      </c>
      <c r="D100" t="s">
        <v>464</v>
      </c>
      <c r="E100" t="s">
        <v>465</v>
      </c>
      <c r="F100" t="s">
        <v>2188</v>
      </c>
      <c r="G100" s="3" t="str">
        <f t="shared" si="8"/>
        <v>Audit Opinion:</v>
      </c>
      <c r="H100" s="3" t="str">
        <f t="shared" si="11"/>
        <v>Revizija_Misljenje</v>
      </c>
      <c r="I100" s="3">
        <f t="shared" si="12"/>
        <v>1</v>
      </c>
    </row>
    <row r="101" spans="1:9" x14ac:dyDescent="0.3">
      <c r="A101" t="s">
        <v>445</v>
      </c>
      <c r="B101" t="s">
        <v>415</v>
      </c>
      <c r="C101" t="s">
        <v>416</v>
      </c>
      <c r="D101" t="s">
        <v>440</v>
      </c>
      <c r="E101" t="s">
        <v>423</v>
      </c>
      <c r="F101" t="s">
        <v>2189</v>
      </c>
      <c r="G101" s="3" t="str">
        <f t="shared" si="8"/>
        <v>Audit Company Information:</v>
      </c>
      <c r="H101" s="3" t="str">
        <f t="shared" si="11"/>
        <v>Revizija_Podaci_o_revizorskoj_firmi</v>
      </c>
      <c r="I101" s="3">
        <f t="shared" si="12"/>
        <v>1</v>
      </c>
    </row>
    <row r="102" spans="1:9" x14ac:dyDescent="0.3">
      <c r="A102" t="s">
        <v>445</v>
      </c>
      <c r="B102" t="s">
        <v>495</v>
      </c>
      <c r="C102" t="s">
        <v>496</v>
      </c>
      <c r="D102" t="s">
        <v>497</v>
      </c>
      <c r="E102" t="s">
        <v>498</v>
      </c>
      <c r="F102" t="s">
        <v>2190</v>
      </c>
      <c r="G102" s="3" t="str">
        <f t="shared" si="8"/>
        <v>Audit Company Name</v>
      </c>
      <c r="H102" s="3" t="str">
        <f>SUBSTITUTE(A102&amp;"_"&amp;B102," ","_")</f>
        <v>Revizija_Naziv_revizorske_firme</v>
      </c>
      <c r="I102" s="3">
        <f t="shared" si="12"/>
        <v>1</v>
      </c>
    </row>
    <row r="103" spans="1:9" x14ac:dyDescent="0.3">
      <c r="A103" t="s">
        <v>445</v>
      </c>
      <c r="B103" t="s">
        <v>448</v>
      </c>
      <c r="C103" t="s">
        <v>408</v>
      </c>
      <c r="D103" t="s">
        <v>441</v>
      </c>
      <c r="E103" t="s">
        <v>474</v>
      </c>
      <c r="F103" t="s">
        <v>2191</v>
      </c>
      <c r="G103" s="3" t="str">
        <f t="shared" ref="G103:G106" si="13">CHOOSE( ID_Jezik, C103, D103, E103,F103)</f>
        <v xml:space="preserve">Unqualified Opinion </v>
      </c>
      <c r="H103" s="3" t="str">
        <f t="shared" si="11"/>
        <v>Revizija_Pozitivno</v>
      </c>
      <c r="I103" s="3">
        <f t="shared" si="12"/>
        <v>1</v>
      </c>
    </row>
    <row r="104" spans="1:9" x14ac:dyDescent="0.3">
      <c r="A104" t="s">
        <v>445</v>
      </c>
      <c r="B104" t="s">
        <v>451</v>
      </c>
      <c r="C104" t="s">
        <v>414</v>
      </c>
      <c r="D104" t="s">
        <v>442</v>
      </c>
      <c r="E104" t="s">
        <v>409</v>
      </c>
      <c r="F104" t="s">
        <v>2192</v>
      </c>
      <c r="G104" s="3" t="str">
        <f t="shared" si="13"/>
        <v>Qualified Opinion</v>
      </c>
      <c r="H104" s="3" t="str">
        <f t="shared" si="11"/>
        <v>Revizija_Sa_rezervom</v>
      </c>
      <c r="I104" s="3">
        <f t="shared" si="12"/>
        <v>1</v>
      </c>
    </row>
    <row r="105" spans="1:9" x14ac:dyDescent="0.3">
      <c r="A105" t="s">
        <v>445</v>
      </c>
      <c r="B105" t="s">
        <v>449</v>
      </c>
      <c r="C105" t="s">
        <v>411</v>
      </c>
      <c r="D105" t="s">
        <v>443</v>
      </c>
      <c r="E105" t="s">
        <v>410</v>
      </c>
      <c r="F105" t="s">
        <v>2193</v>
      </c>
      <c r="G105" s="3" t="str">
        <f t="shared" si="13"/>
        <v>Adverse Opinion</v>
      </c>
      <c r="H105" s="3" t="str">
        <f t="shared" si="11"/>
        <v>Revizija_Negativno</v>
      </c>
      <c r="I105" s="3">
        <f t="shared" si="12"/>
        <v>1</v>
      </c>
    </row>
    <row r="106" spans="1:9" x14ac:dyDescent="0.3">
      <c r="A106" t="s">
        <v>445</v>
      </c>
      <c r="B106" t="s">
        <v>450</v>
      </c>
      <c r="C106" t="s">
        <v>413</v>
      </c>
      <c r="D106" t="s">
        <v>444</v>
      </c>
      <c r="E106" t="s">
        <v>412</v>
      </c>
      <c r="F106" t="s">
        <v>2194</v>
      </c>
      <c r="G106" s="3" t="str">
        <f t="shared" si="13"/>
        <v>Disclaimer of Opinion</v>
      </c>
      <c r="H106" s="3" t="str">
        <f t="shared" si="11"/>
        <v>Revizija_Uzdrzavanje</v>
      </c>
      <c r="I106" s="3">
        <f t="shared" si="12"/>
        <v>1</v>
      </c>
    </row>
    <row r="107" spans="1:9" ht="15" x14ac:dyDescent="0.3">
      <c r="A107" t="s">
        <v>3038</v>
      </c>
      <c r="B107" t="s">
        <v>3039</v>
      </c>
      <c r="C107" s="247" t="s">
        <v>3058</v>
      </c>
      <c r="D107" s="247" t="s">
        <v>3054</v>
      </c>
      <c r="E107" t="s">
        <v>3043</v>
      </c>
      <c r="F107" t="s">
        <v>3061</v>
      </c>
      <c r="G107" s="3" t="str">
        <f>CHOOSE( ID_Jezik, C107, D107, E107,F107)</f>
        <v>1 Product subsidies include subsidies that can be shown per product unit, i.e. The amount of these subsidies depends on the volume of production (e.g. train ticket, flour, bread, milk, etc.).</v>
      </c>
      <c r="H107" s="3" t="str">
        <f>SUBSTITUTE(A107&amp;"_"&amp;B107," ","_")</f>
        <v>Napomene_Nota_1</v>
      </c>
      <c r="I107" s="3">
        <f t="shared" si="12"/>
        <v>1</v>
      </c>
    </row>
    <row r="108" spans="1:9" ht="16.2" x14ac:dyDescent="0.3">
      <c r="A108" t="s">
        <v>3038</v>
      </c>
      <c r="B108" t="s">
        <v>3040</v>
      </c>
      <c r="C108" s="247" t="s">
        <v>3057</v>
      </c>
      <c r="D108" s="247" t="s">
        <v>3053</v>
      </c>
      <c r="E108" t="s">
        <v>3044</v>
      </c>
      <c r="F108" t="s">
        <v>3052</v>
      </c>
      <c r="G108" s="3" t="str">
        <f>CHOOSE( ID_Jezik, C108, D108, E108,F108)</f>
        <v>2 Production subsidies include subsidies that cannot be shown per unit of product or service (e.g. employment, salary, interest rate, for reducing pollution, etc.).</v>
      </c>
      <c r="H108" s="3" t="str">
        <f>SUBSTITUTE(A108&amp;"_"&amp;B108," ","_")</f>
        <v>Napomene_Nota_2</v>
      </c>
      <c r="I108" s="3">
        <f t="shared" si="12"/>
        <v>1</v>
      </c>
    </row>
    <row r="109" spans="1:9" ht="15" x14ac:dyDescent="0.3">
      <c r="A109" t="s">
        <v>3038</v>
      </c>
      <c r="B109" t="s">
        <v>3041</v>
      </c>
      <c r="C109" s="247" t="s">
        <v>3059</v>
      </c>
      <c r="D109" s="247" t="s">
        <v>3055</v>
      </c>
      <c r="E109" t="s">
        <v>3045</v>
      </c>
      <c r="F109" t="s">
        <v>3047</v>
      </c>
      <c r="G109" s="3" t="str">
        <f>CHOOSE( ID_Jezik, C109, D109, E109,F109)</f>
        <v>3 Taxes on products depend on the quantity or value of goods and services produced (e.g. customs duties, residence taxes, tax on games of chance, etc.).</v>
      </c>
      <c r="H109" s="3" t="str">
        <f>SUBSTITUTE(A109&amp;"_"&amp;B109," ","_")</f>
        <v>Napomene_Nota_3</v>
      </c>
      <c r="I109" s="3">
        <f t="shared" si="12"/>
        <v>1</v>
      </c>
    </row>
    <row r="110" spans="1:9" ht="15" x14ac:dyDescent="0.3">
      <c r="A110" t="s">
        <v>3038</v>
      </c>
      <c r="B110" t="s">
        <v>3042</v>
      </c>
      <c r="C110" s="247" t="s">
        <v>3060</v>
      </c>
      <c r="D110" s="247" t="s">
        <v>3056</v>
      </c>
      <c r="E110" t="s">
        <v>3046</v>
      </c>
      <c r="F110" t="s">
        <v>3062</v>
      </c>
      <c r="G110" s="3" t="str">
        <f>CHOOSE( ID_Jezik, C110, D110, E110,F110)</f>
        <v>4 Taxes on production include all taxes charged by the reporting entity due to engagement in production, regardless of the quantity or value of derived goods and services (e.g. on property, on land, for the use of water and forests, for fire protection, etc.).</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105:F106 F75:F91 F94:F106 C74:E87 C88:D89 C90:E104 C2:F73">
    <cfRule type="containsBlanks" dxfId="22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I2" activePane="bottomRight" state="frozen"/>
      <selection activeCell="C12" sqref="C12:O12"/>
      <selection pane="topRight" activeCell="C12" sqref="C12:O12"/>
      <selection pane="bottomLeft" activeCell="C12" sqref="C12:O12"/>
      <selection pane="bottomRight" activeCell="I11" sqref="I11"/>
    </sheetView>
  </sheetViews>
  <sheetFormatPr defaultColWidth="9.109375" defaultRowHeight="13.8" x14ac:dyDescent="0.3"/>
  <cols>
    <col min="1" max="1" width="8" customWidth="1"/>
    <col min="2" max="2" width="8.5546875" customWidth="1"/>
    <col min="3" max="3" width="10.109375" customWidth="1"/>
    <col min="4" max="4" width="7.109375" customWidth="1"/>
    <col min="5" max="5" width="18.5546875" customWidth="1"/>
    <col min="6" max="6" width="125.6640625" customWidth="1"/>
    <col min="7" max="7" width="76.44140625" style="288" customWidth="1"/>
    <col min="8" max="8" width="94.44140625" style="288" customWidth="1"/>
    <col min="9" max="9" width="73" style="288" customWidth="1"/>
    <col min="10" max="10" width="67.88671875" style="288" customWidth="1"/>
    <col min="11" max="13" width="19.6640625" style="56" customWidth="1"/>
    <col min="14" max="14" width="24.33203125" style="2" customWidth="1"/>
    <col min="15" max="16" width="8.88671875" customWidth="1"/>
    <col min="17" max="16384" width="9.109375" style="105"/>
  </cols>
  <sheetData>
    <row r="1" spans="1:16" ht="25.5" customHeight="1" x14ac:dyDescent="0.3">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3">
      <c r="A2">
        <f t="shared" ref="A2:A65" si="0">ROW()-ROW($A$1)</f>
        <v>1</v>
      </c>
      <c r="B2" t="s">
        <v>771</v>
      </c>
      <c r="C2">
        <v>1</v>
      </c>
      <c r="D2" s="227">
        <v>1</v>
      </c>
      <c r="E2" s="2">
        <f>VLOOKUP( T_Aop[[#This Row],[Id]], T_Aop[], ID_Jezik +10, 1)</f>
        <v>0</v>
      </c>
      <c r="F2" t="str">
        <f>REPT( "  ", T_Aop[[#This Row],[Aop nivo]]) &amp; VLOOKUP( T_Aop[[#This Row],[Id]], T_Aop[], ID_Jezik + 6, 1)</f>
        <v xml:space="preserve">  A. FIXED ASSETS (002 + 008 + 015 + 016 + 017 + 022 + 034)</v>
      </c>
      <c r="G2" s="280" t="s">
        <v>2752</v>
      </c>
      <c r="H2" s="280" t="s">
        <v>2753</v>
      </c>
      <c r="I2" s="280" t="s">
        <v>2754</v>
      </c>
      <c r="J2" s="280" t="s">
        <v>2755</v>
      </c>
      <c r="K2" s="351">
        <v>0</v>
      </c>
      <c r="L2" s="351">
        <v>0</v>
      </c>
      <c r="O2" s="10">
        <v>1</v>
      </c>
      <c r="P2" s="10"/>
    </row>
    <row r="3" spans="1:16" x14ac:dyDescent="0.3">
      <c r="A3">
        <f t="shared" si="0"/>
        <v>2</v>
      </c>
      <c r="B3" t="s">
        <v>771</v>
      </c>
      <c r="C3">
        <v>1</v>
      </c>
      <c r="D3" s="227">
        <v>2</v>
      </c>
      <c r="E3" s="2" t="str">
        <f>VLOOKUP( T_Aop[[#This Row],[Id]], T_Aop[], ID_Jezik +10, 1)</f>
        <v>01</v>
      </c>
      <c r="F3" t="str">
        <f>REPT( "  ", T_Aop[[#This Row],[Aop nivo]]) &amp; VLOOKUP( T_Aop[[#This Row],[Id]], T_Aop[], ID_Jezik + 6, 1)</f>
        <v xml:space="preserve">  I INTANGIBLE ASSETS (003 to 007)</v>
      </c>
      <c r="G3" s="281" t="s">
        <v>1046</v>
      </c>
      <c r="H3" s="281" t="s">
        <v>1004</v>
      </c>
      <c r="I3" s="288" t="s">
        <v>2783</v>
      </c>
      <c r="J3" s="299" t="s">
        <v>1967</v>
      </c>
      <c r="K3" s="368" t="s">
        <v>344</v>
      </c>
      <c r="L3" s="267" t="s">
        <v>344</v>
      </c>
      <c r="M3" s="289" t="s">
        <v>344</v>
      </c>
      <c r="N3" s="266" t="s">
        <v>344</v>
      </c>
      <c r="O3" s="10">
        <v>1</v>
      </c>
      <c r="P3" s="10"/>
    </row>
    <row r="4" spans="1:16" x14ac:dyDescent="0.3">
      <c r="A4">
        <f t="shared" si="0"/>
        <v>3</v>
      </c>
      <c r="B4" t="s">
        <v>771</v>
      </c>
      <c r="C4">
        <v>2</v>
      </c>
      <c r="D4" s="227">
        <v>3</v>
      </c>
      <c r="E4" s="2" t="str">
        <f>VLOOKUP( T_Aop[[#This Row],[Id]], T_Aop[], ID_Jezik +10, 1)</f>
        <v>010, part 019</v>
      </c>
      <c r="F4" t="str">
        <f>REPT( "  ", T_Aop[[#This Row],[Aop nivo]]) &amp; VLOOKUP( T_Aop[[#This Row],[Id]], T_Aop[], ID_Jezik + 6, 1)</f>
        <v xml:space="preserve">    1. Research and development investments</v>
      </c>
      <c r="G4" s="288" t="s">
        <v>1047</v>
      </c>
      <c r="H4" s="280" t="s">
        <v>1021</v>
      </c>
      <c r="I4" s="288" t="s">
        <v>2675</v>
      </c>
      <c r="J4" s="370" t="s">
        <v>1968</v>
      </c>
      <c r="K4" s="369" t="s">
        <v>595</v>
      </c>
      <c r="L4" s="269" t="s">
        <v>596</v>
      </c>
      <c r="M4" s="289" t="s">
        <v>597</v>
      </c>
      <c r="N4" s="256" t="s">
        <v>2250</v>
      </c>
      <c r="O4" s="10"/>
      <c r="P4" s="10"/>
    </row>
    <row r="5" spans="1:16" x14ac:dyDescent="0.3">
      <c r="A5">
        <f t="shared" si="0"/>
        <v>4</v>
      </c>
      <c r="B5" t="s">
        <v>771</v>
      </c>
      <c r="C5">
        <v>2</v>
      </c>
      <c r="D5" s="227">
        <v>4</v>
      </c>
      <c r="E5" s="2" t="str">
        <f>VLOOKUP( T_Aop[[#This Row],[Id]], T_Aop[], ID_Jezik +10, 1)</f>
        <v>011, 013 part 019</v>
      </c>
      <c r="F5" t="str">
        <f>REPT( "  ", T_Aop[[#This Row],[Aop nivo]]) &amp; VLOOKUP( T_Aop[[#This Row],[Id]], T_Aop[], ID_Jezik + 6, 1)</f>
        <v xml:space="preserve">    2. Concessions, patents, licenses, software and similar rights</v>
      </c>
      <c r="G5" s="288" t="s">
        <v>1048</v>
      </c>
      <c r="H5" s="281" t="s">
        <v>781</v>
      </c>
      <c r="I5" s="288" t="s">
        <v>3073</v>
      </c>
      <c r="J5" s="370" t="s">
        <v>1969</v>
      </c>
      <c r="K5" s="369" t="s">
        <v>816</v>
      </c>
      <c r="L5" s="268" t="s">
        <v>787</v>
      </c>
      <c r="M5" s="289" t="s">
        <v>974</v>
      </c>
      <c r="N5" s="256" t="s">
        <v>2251</v>
      </c>
      <c r="O5" s="10"/>
      <c r="P5" s="10"/>
    </row>
    <row r="6" spans="1:16" x14ac:dyDescent="0.3">
      <c r="A6">
        <f t="shared" si="0"/>
        <v>5</v>
      </c>
      <c r="B6" t="s">
        <v>771</v>
      </c>
      <c r="C6">
        <v>2</v>
      </c>
      <c r="D6" s="227">
        <v>5</v>
      </c>
      <c r="E6" s="2" t="str">
        <f>VLOOKUP( T_Aop[[#This Row],[Id]], T_Aop[], ID_Jezik +10, 1)</f>
        <v>012, part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3">
      <c r="A7">
        <f t="shared" si="0"/>
        <v>6</v>
      </c>
      <c r="B7" t="s">
        <v>771</v>
      </c>
      <c r="C7">
        <v>2</v>
      </c>
      <c r="D7" s="227">
        <v>6</v>
      </c>
      <c r="E7" s="2" t="str">
        <f>VLOOKUP( T_Aop[[#This Row],[Id]], T_Aop[], ID_Jezik +10, 1)</f>
        <v>014, part 019</v>
      </c>
      <c r="F7" t="str">
        <f>REPT( "  ", T_Aop[[#This Row],[Aop nivo]]) &amp; VLOOKUP( T_Aop[[#This Row],[Id]], T_Aop[], ID_Jezik + 6, 1)</f>
        <v xml:space="preserve">    4. Other intangible assets</v>
      </c>
      <c r="G7" s="288" t="s">
        <v>1050</v>
      </c>
      <c r="H7" s="281" t="s">
        <v>1024</v>
      </c>
      <c r="I7" s="288" t="s">
        <v>2676</v>
      </c>
      <c r="J7" s="370" t="s">
        <v>1970</v>
      </c>
      <c r="K7" s="369" t="s">
        <v>601</v>
      </c>
      <c r="L7" s="268" t="s">
        <v>602</v>
      </c>
      <c r="M7" s="289" t="s">
        <v>603</v>
      </c>
      <c r="N7" s="256" t="s">
        <v>2253</v>
      </c>
      <c r="O7" s="10"/>
      <c r="P7" s="10"/>
    </row>
    <row r="8" spans="1:16" x14ac:dyDescent="0.3">
      <c r="A8">
        <f t="shared" si="0"/>
        <v>7</v>
      </c>
      <c r="B8" t="s">
        <v>771</v>
      </c>
      <c r="C8">
        <v>2</v>
      </c>
      <c r="D8" s="227">
        <v>7</v>
      </c>
      <c r="E8" s="2" t="str">
        <f>VLOOKUP( T_Aop[[#This Row],[Id]], T_Aop[], ID_Jezik +10, 1)</f>
        <v>015, 016, part 019</v>
      </c>
      <c r="F8" t="str">
        <f>REPT( "  ", T_Aop[[#This Row],[Aop nivo]]) &amp; VLOOKUP( T_Aop[[#This Row],[Id]], T_Aop[], ID_Jezik + 6, 1)</f>
        <v xml:space="preserve">    5. Аdvances (prepayments) and intangible assets in preparation process</v>
      </c>
      <c r="G8" s="288" t="s">
        <v>1051</v>
      </c>
      <c r="H8" s="280" t="s">
        <v>1023</v>
      </c>
      <c r="I8" s="288" t="s">
        <v>2677</v>
      </c>
      <c r="J8" s="370" t="s">
        <v>1971</v>
      </c>
      <c r="K8" s="369" t="s">
        <v>604</v>
      </c>
      <c r="L8" s="268" t="s">
        <v>2725</v>
      </c>
      <c r="M8" s="289" t="s">
        <v>605</v>
      </c>
      <c r="N8" s="256" t="s">
        <v>2254</v>
      </c>
      <c r="O8" s="10"/>
      <c r="P8" s="10"/>
    </row>
    <row r="9" spans="1:16" x14ac:dyDescent="0.3">
      <c r="A9">
        <f t="shared" si="0"/>
        <v>8</v>
      </c>
      <c r="B9" t="s">
        <v>771</v>
      </c>
      <c r="C9">
        <v>1</v>
      </c>
      <c r="D9" s="227">
        <v>8</v>
      </c>
      <c r="E9" s="2" t="str">
        <f>VLOOKUP( T_Aop[[#This Row],[Id]], T_Aop[], ID_Jezik +10, 1)</f>
        <v>02</v>
      </c>
      <c r="F9" t="str">
        <f>REPT( "  ", T_Aop[[#This Row],[Aop nivo]]) &amp; VLOOKUP( T_Aop[[#This Row],[Id]], T_Aop[], ID_Jezik + 6, 1)</f>
        <v xml:space="preserve">  II REAL ESTATES, PLANT, EQUIPMENT AND INVESTMENT PROPERTY (009 to 014)</v>
      </c>
      <c r="G9" s="281" t="s">
        <v>2760</v>
      </c>
      <c r="H9" s="281" t="s">
        <v>1005</v>
      </c>
      <c r="I9" s="288" t="s">
        <v>2782</v>
      </c>
      <c r="J9" s="370" t="s">
        <v>1972</v>
      </c>
      <c r="K9" s="368" t="s">
        <v>345</v>
      </c>
      <c r="L9" s="267" t="s">
        <v>345</v>
      </c>
      <c r="M9" s="289" t="s">
        <v>345</v>
      </c>
      <c r="N9" s="266" t="s">
        <v>345</v>
      </c>
      <c r="O9" s="10">
        <v>1</v>
      </c>
      <c r="P9" s="10"/>
    </row>
    <row r="10" spans="1:16" x14ac:dyDescent="0.3">
      <c r="A10">
        <f t="shared" si="0"/>
        <v>9</v>
      </c>
      <c r="B10" t="s">
        <v>771</v>
      </c>
      <c r="C10">
        <v>2</v>
      </c>
      <c r="D10" s="227">
        <v>9</v>
      </c>
      <c r="E10" s="2" t="str">
        <f>VLOOKUP( T_Aop[[#This Row],[Id]], T_Aop[], ID_Jezik +10, 1)</f>
        <v>020, part 029</v>
      </c>
      <c r="F10" t="str">
        <f>REPT( "  ", T_Aop[[#This Row],[Aop nivo]]) &amp; VLOOKUP( T_Aop[[#This Row],[Id]], T_Aop[], ID_Jezik + 6, 1)</f>
        <v xml:space="preserve">    1. Land</v>
      </c>
      <c r="G10" s="288" t="s">
        <v>1052</v>
      </c>
      <c r="H10" s="280" t="s">
        <v>1025</v>
      </c>
      <c r="I10" s="288" t="s">
        <v>2681</v>
      </c>
      <c r="J10" s="370" t="s">
        <v>1973</v>
      </c>
      <c r="K10" s="369" t="s">
        <v>606</v>
      </c>
      <c r="L10" s="268" t="s">
        <v>607</v>
      </c>
      <c r="M10" s="289" t="s">
        <v>608</v>
      </c>
      <c r="N10" s="256" t="s">
        <v>2255</v>
      </c>
      <c r="O10" s="10"/>
      <c r="P10" s="10"/>
    </row>
    <row r="11" spans="1:16" x14ac:dyDescent="0.3">
      <c r="A11">
        <f t="shared" si="0"/>
        <v>10</v>
      </c>
      <c r="B11" t="s">
        <v>771</v>
      </c>
      <c r="C11">
        <v>2</v>
      </c>
      <c r="D11" s="227">
        <v>10</v>
      </c>
      <c r="E11" s="2" t="str">
        <f>VLOOKUP( T_Aop[[#This Row],[Id]], T_Aop[], ID_Jezik +10, 1)</f>
        <v>021, part 029</v>
      </c>
      <c r="F11" t="str">
        <f>REPT( "  ", T_Aop[[#This Row],[Aop nivo]]) &amp; VLOOKUP( T_Aop[[#This Row],[Id]], T_Aop[], ID_Jezik + 6, 1)</f>
        <v xml:space="preserve">    2. Buildings</v>
      </c>
      <c r="G11" s="288" t="s">
        <v>1053</v>
      </c>
      <c r="H11" s="281" t="s">
        <v>1026</v>
      </c>
      <c r="I11" s="288" t="s">
        <v>2682</v>
      </c>
      <c r="J11" s="370" t="s">
        <v>1974</v>
      </c>
      <c r="K11" s="369" t="s">
        <v>609</v>
      </c>
      <c r="L11" s="268" t="s">
        <v>610</v>
      </c>
      <c r="M11" s="289" t="s">
        <v>611</v>
      </c>
      <c r="N11" s="256" t="s">
        <v>2256</v>
      </c>
      <c r="O11" s="10"/>
      <c r="P11" s="10"/>
    </row>
    <row r="12" spans="1:16" x14ac:dyDescent="0.3">
      <c r="A12">
        <f t="shared" si="0"/>
        <v>11</v>
      </c>
      <c r="B12" t="s">
        <v>771</v>
      </c>
      <c r="C12">
        <v>2</v>
      </c>
      <c r="D12" s="227">
        <v>11</v>
      </c>
      <c r="E12" s="2" t="str">
        <f>VLOOKUP( T_Aop[[#This Row],[Id]], T_Aop[], ID_Jezik +10, 1)</f>
        <v>022, part 029</v>
      </c>
      <c r="F12" t="str">
        <f>REPT( "  ", T_Aop[[#This Row],[Aop nivo]]) &amp; VLOOKUP( T_Aop[[#This Row],[Id]], T_Aop[], ID_Jezik + 6, 1)</f>
        <v xml:space="preserve">    3. Plant and equipment</v>
      </c>
      <c r="G12" s="288" t="s">
        <v>1054</v>
      </c>
      <c r="H12" s="280" t="s">
        <v>1027</v>
      </c>
      <c r="I12" s="288" t="s">
        <v>2683</v>
      </c>
      <c r="J12" s="370" t="s">
        <v>1975</v>
      </c>
      <c r="K12" s="369" t="s">
        <v>612</v>
      </c>
      <c r="L12" s="268" t="s">
        <v>613</v>
      </c>
      <c r="M12" s="289" t="s">
        <v>614</v>
      </c>
      <c r="N12" s="256" t="s">
        <v>2257</v>
      </c>
      <c r="O12" s="10"/>
      <c r="P12" s="10"/>
    </row>
    <row r="13" spans="1:16" x14ac:dyDescent="0.3">
      <c r="A13">
        <f t="shared" si="0"/>
        <v>12</v>
      </c>
      <c r="B13" t="s">
        <v>771</v>
      </c>
      <c r="C13">
        <v>2</v>
      </c>
      <c r="D13" s="227">
        <v>12</v>
      </c>
      <c r="E13" s="2" t="str">
        <f>VLOOKUP( T_Aop[[#This Row],[Id]], T_Aop[], ID_Jezik +10, 1)</f>
        <v>023, part 029</v>
      </c>
      <c r="F13" t="str">
        <f>REPT( "  ", T_Aop[[#This Row],[Aop nivo]]) &amp; VLOOKUP( T_Aop[[#This Row],[Id]], T_Aop[], ID_Jezik + 6, 1)</f>
        <v xml:space="preserve">    4. Other real estates, plants and equipment</v>
      </c>
      <c r="G13" s="288" t="s">
        <v>1055</v>
      </c>
      <c r="H13" s="281" t="s">
        <v>1028</v>
      </c>
      <c r="I13" s="288" t="s">
        <v>2684</v>
      </c>
      <c r="J13" s="370" t="s">
        <v>1976</v>
      </c>
      <c r="K13" s="369" t="s">
        <v>615</v>
      </c>
      <c r="L13" s="268" t="s">
        <v>616</v>
      </c>
      <c r="M13" s="289" t="s">
        <v>617</v>
      </c>
      <c r="N13" s="256" t="s">
        <v>2258</v>
      </c>
      <c r="O13" s="10"/>
      <c r="P13" s="10"/>
    </row>
    <row r="14" spans="1:16" x14ac:dyDescent="0.3">
      <c r="A14">
        <f t="shared" si="0"/>
        <v>13</v>
      </c>
      <c r="B14" t="s">
        <v>771</v>
      </c>
      <c r="C14">
        <v>2</v>
      </c>
      <c r="D14" s="227">
        <v>13</v>
      </c>
      <c r="E14" s="2" t="str">
        <f>VLOOKUP( T_Aop[[#This Row],[Id]], T_Aop[], ID_Jezik +10, 1)</f>
        <v>024, part 029</v>
      </c>
      <c r="F14" t="str">
        <f>REPT( "  ", T_Aop[[#This Row],[Aop nivo]]) &amp; VLOOKUP( T_Aop[[#This Row],[Id]], T_Aop[], ID_Jezik + 6, 1)</f>
        <v xml:space="preserve">    5. Investment in real estates, plants and equipment not owned by the company</v>
      </c>
      <c r="G14" s="288" t="s">
        <v>1056</v>
      </c>
      <c r="H14" s="280" t="s">
        <v>1029</v>
      </c>
      <c r="I14" s="288" t="s">
        <v>2685</v>
      </c>
      <c r="J14" s="370" t="s">
        <v>1977</v>
      </c>
      <c r="K14" s="369" t="s">
        <v>618</v>
      </c>
      <c r="L14" s="268" t="s">
        <v>619</v>
      </c>
      <c r="M14" s="289" t="s">
        <v>620</v>
      </c>
      <c r="N14" s="256" t="s">
        <v>2259</v>
      </c>
      <c r="O14" s="10"/>
      <c r="P14" s="10"/>
    </row>
    <row r="15" spans="1:16" x14ac:dyDescent="0.3">
      <c r="A15">
        <f t="shared" si="0"/>
        <v>14</v>
      </c>
      <c r="B15" t="s">
        <v>771</v>
      </c>
      <c r="C15">
        <v>2</v>
      </c>
      <c r="D15" s="227">
        <v>14</v>
      </c>
      <c r="E15" s="2" t="str">
        <f>VLOOKUP( T_Aop[[#This Row],[Id]], T_Aop[], ID_Jezik +10, 1)</f>
        <v>025, 026, part 029</v>
      </c>
      <c r="F15" t="str">
        <f>REPT( "  ", T_Aop[[#This Row],[Aop nivo]]) &amp; VLOOKUP( T_Aop[[#This Row],[Id]], T_Aop[], ID_Jezik + 6, 1)</f>
        <v xml:space="preserve">    6. Advances (prepayments) and real estates, plant, equipment and investment property in preparation process</v>
      </c>
      <c r="G15" s="288" t="s">
        <v>2912</v>
      </c>
      <c r="H15" s="281" t="s">
        <v>1030</v>
      </c>
      <c r="I15" s="288" t="s">
        <v>2686</v>
      </c>
      <c r="J15" s="370" t="s">
        <v>1978</v>
      </c>
      <c r="K15" s="369" t="s">
        <v>817</v>
      </c>
      <c r="L15" s="268" t="s">
        <v>788</v>
      </c>
      <c r="M15" s="289" t="s">
        <v>975</v>
      </c>
      <c r="N15" s="256" t="s">
        <v>2260</v>
      </c>
      <c r="O15" s="10"/>
      <c r="P15" s="10"/>
    </row>
    <row r="16" spans="1:16" x14ac:dyDescent="0.3">
      <c r="A16">
        <f t="shared" si="0"/>
        <v>15</v>
      </c>
      <c r="B16" t="s">
        <v>771</v>
      </c>
      <c r="C16">
        <v>1</v>
      </c>
      <c r="D16" s="227">
        <v>15</v>
      </c>
      <c r="E16" s="2" t="str">
        <f>VLOOKUP( T_Aop[[#This Row],[Id]], T_Aop[], ID_Jezik +10, 1)</f>
        <v>03</v>
      </c>
      <c r="F16" t="str">
        <f>REPT( "  ", T_Aop[[#This Row],[Aop nivo]]) &amp; VLOOKUP( T_Aop[[#This Row],[Id]], T_Aop[], ID_Jezik + 6, 1)</f>
        <v xml:space="preserve">  III REAL ESTATES INVESTMENT</v>
      </c>
      <c r="G16" s="281" t="s">
        <v>1057</v>
      </c>
      <c r="H16" s="280" t="s">
        <v>1007</v>
      </c>
      <c r="I16" s="288" t="s">
        <v>1714</v>
      </c>
      <c r="J16" s="370" t="s">
        <v>1979</v>
      </c>
      <c r="K16" s="533" t="s">
        <v>346</v>
      </c>
      <c r="L16" s="269" t="s">
        <v>346</v>
      </c>
      <c r="M16" s="289" t="s">
        <v>346</v>
      </c>
      <c r="N16" s="266" t="s">
        <v>346</v>
      </c>
      <c r="O16" s="10"/>
      <c r="P16" s="10"/>
    </row>
    <row r="17" spans="1:16" x14ac:dyDescent="0.3">
      <c r="A17">
        <f t="shared" si="0"/>
        <v>16</v>
      </c>
      <c r="B17" t="s">
        <v>771</v>
      </c>
      <c r="C17">
        <v>1</v>
      </c>
      <c r="D17" s="227">
        <v>16</v>
      </c>
      <c r="E17" s="2" t="str">
        <f>VLOOKUP( T_Aop[[#This Row],[Id]], T_Aop[], ID_Jezik +10, 1)</f>
        <v>04</v>
      </c>
      <c r="F17" t="str">
        <f>REPT( "  ", T_Aop[[#This Row],[Aop nivo]]) &amp; VLOOKUP( T_Aop[[#This Row],[Id]], T_Aop[], ID_Jezik + 6, 1)</f>
        <v xml:space="preserve">  IV LEASED ASSETS</v>
      </c>
      <c r="G17" s="281" t="s">
        <v>1058</v>
      </c>
      <c r="H17" s="281" t="s">
        <v>1008</v>
      </c>
      <c r="I17" s="288" t="s">
        <v>997</v>
      </c>
      <c r="J17" s="370" t="s">
        <v>1980</v>
      </c>
      <c r="K17" s="369" t="s">
        <v>347</v>
      </c>
      <c r="L17" s="269" t="s">
        <v>347</v>
      </c>
      <c r="M17" s="289" t="s">
        <v>347</v>
      </c>
      <c r="N17" s="266" t="s">
        <v>347</v>
      </c>
      <c r="O17" s="10"/>
      <c r="P17" s="10"/>
    </row>
    <row r="18" spans="1:16" x14ac:dyDescent="0.3">
      <c r="A18">
        <f t="shared" si="0"/>
        <v>17</v>
      </c>
      <c r="B18" t="s">
        <v>771</v>
      </c>
      <c r="C18">
        <v>1</v>
      </c>
      <c r="D18" s="227">
        <v>17</v>
      </c>
      <c r="E18" s="2" t="str">
        <f>VLOOKUP( T_Aop[[#This Row],[Id]], T_Aop[], ID_Jezik +10, 1)</f>
        <v>05</v>
      </c>
      <c r="F18" t="str">
        <f>REPT( "  ", T_Aop[[#This Row],[Aop nivo]]) &amp; VLOOKUP( T_Aop[[#This Row],[Id]], T_Aop[], ID_Jezik + 6, 1)</f>
        <v xml:space="preserve">  V BIOLOGICAL ASSETS (018 to 021)</v>
      </c>
      <c r="G18" s="281" t="s">
        <v>1059</v>
      </c>
      <c r="H18" s="280" t="s">
        <v>1009</v>
      </c>
      <c r="I18" s="288" t="s">
        <v>998</v>
      </c>
      <c r="J18" s="370" t="s">
        <v>1981</v>
      </c>
      <c r="K18" s="369" t="s">
        <v>818</v>
      </c>
      <c r="L18" s="269" t="s">
        <v>818</v>
      </c>
      <c r="M18" s="289" t="s">
        <v>818</v>
      </c>
      <c r="N18" s="266" t="s">
        <v>818</v>
      </c>
      <c r="O18" s="10">
        <v>1</v>
      </c>
      <c r="P18" s="10"/>
    </row>
    <row r="19" spans="1:16" x14ac:dyDescent="0.3">
      <c r="A19">
        <f t="shared" si="0"/>
        <v>18</v>
      </c>
      <c r="B19" t="s">
        <v>771</v>
      </c>
      <c r="C19">
        <v>2</v>
      </c>
      <c r="D19" s="227">
        <v>18</v>
      </c>
      <c r="E19" s="2" t="str">
        <f>VLOOKUP( T_Aop[[#This Row],[Id]], T_Aop[], ID_Jezik +10, 1)</f>
        <v>050, part 059</v>
      </c>
      <c r="F19" t="str">
        <f>REPT( "  ", T_Aop[[#This Row],[Aop nivo]]) &amp; VLOOKUP( T_Aop[[#This Row],[Id]], T_Aop[], ID_Jezik + 6, 1)</f>
        <v xml:space="preserve">    1. Forest</v>
      </c>
      <c r="G19" s="288" t="s">
        <v>1060</v>
      </c>
      <c r="H19" s="281" t="s">
        <v>1031</v>
      </c>
      <c r="I19" s="288" t="s">
        <v>2687</v>
      </c>
      <c r="J19" s="370" t="s">
        <v>1982</v>
      </c>
      <c r="K19" s="369" t="s">
        <v>819</v>
      </c>
      <c r="L19" s="268" t="s">
        <v>789</v>
      </c>
      <c r="M19" s="289" t="s">
        <v>976</v>
      </c>
      <c r="N19" s="256" t="s">
        <v>2261</v>
      </c>
      <c r="O19" s="10"/>
      <c r="P19" s="10"/>
    </row>
    <row r="20" spans="1:16" x14ac:dyDescent="0.3">
      <c r="A20">
        <f t="shared" si="0"/>
        <v>19</v>
      </c>
      <c r="B20" t="s">
        <v>771</v>
      </c>
      <c r="C20">
        <v>2</v>
      </c>
      <c r="D20" s="227">
        <v>19</v>
      </c>
      <c r="E20" s="2" t="str">
        <f>VLOOKUP( T_Aop[[#This Row],[Id]], T_Aop[], ID_Jezik +10, 1)</f>
        <v>051, part 059</v>
      </c>
      <c r="F20" t="str">
        <f>REPT( "  ", T_Aop[[#This Row],[Aop nivo]]) &amp; VLOOKUP( T_Aop[[#This Row],[Id]], T_Aop[], ID_Jezik + 6, 1)</f>
        <v xml:space="preserve">    2. Growing crops</v>
      </c>
      <c r="G20" s="288" t="s">
        <v>1061</v>
      </c>
      <c r="H20" s="280" t="s">
        <v>1032</v>
      </c>
      <c r="I20" s="288" t="s">
        <v>2678</v>
      </c>
      <c r="J20" s="370" t="s">
        <v>1983</v>
      </c>
      <c r="K20" s="369" t="s">
        <v>820</v>
      </c>
      <c r="L20" s="268" t="s">
        <v>790</v>
      </c>
      <c r="M20" s="289" t="s">
        <v>977</v>
      </c>
      <c r="N20" s="256" t="s">
        <v>2262</v>
      </c>
      <c r="O20" s="10"/>
      <c r="P20" s="10"/>
    </row>
    <row r="21" spans="1:16" x14ac:dyDescent="0.3">
      <c r="A21">
        <f t="shared" si="0"/>
        <v>20</v>
      </c>
      <c r="B21" t="s">
        <v>771</v>
      </c>
      <c r="C21">
        <v>2</v>
      </c>
      <c r="D21" s="227">
        <v>20</v>
      </c>
      <c r="E21" s="2" t="str">
        <f>VLOOKUP( T_Aop[[#This Row],[Id]], T_Aop[], ID_Jezik +10, 1)</f>
        <v>052, 053 part 059</v>
      </c>
      <c r="F21" t="str">
        <f>REPT( "  ", T_Aop[[#This Row],[Aop nivo]]) &amp; VLOOKUP( T_Aop[[#This Row],[Id]], T_Aop[], ID_Jezik + 6, 1)</f>
        <v xml:space="preserve">    3. Live stock and other biological assets</v>
      </c>
      <c r="G21" s="288" t="s">
        <v>1062</v>
      </c>
      <c r="H21" s="281" t="s">
        <v>1033</v>
      </c>
      <c r="I21" s="288" t="s">
        <v>2679</v>
      </c>
      <c r="J21" s="370" t="s">
        <v>1984</v>
      </c>
      <c r="K21" s="369" t="s">
        <v>821</v>
      </c>
      <c r="L21" s="268" t="s">
        <v>791</v>
      </c>
      <c r="M21" s="289" t="s">
        <v>978</v>
      </c>
      <c r="N21" s="256" t="s">
        <v>2263</v>
      </c>
      <c r="O21" s="10"/>
      <c r="P21" s="10"/>
    </row>
    <row r="22" spans="1:16" x14ac:dyDescent="0.3">
      <c r="A22">
        <f t="shared" si="0"/>
        <v>21</v>
      </c>
      <c r="B22" t="s">
        <v>771</v>
      </c>
      <c r="C22">
        <v>2</v>
      </c>
      <c r="D22" s="227">
        <v>21</v>
      </c>
      <c r="E22" s="2" t="str">
        <f>VLOOKUP( T_Aop[[#This Row],[Id]], T_Aop[], ID_Jezik +10, 1)</f>
        <v>055, 056 and part 059</v>
      </c>
      <c r="F22" t="str">
        <f>REPT( "  ", T_Aop[[#This Row],[Aop nivo]]) &amp; VLOOKUP( T_Aop[[#This Row],[Id]], T_Aop[], ID_Jezik + 6, 1)</f>
        <v xml:space="preserve">    4. Advances (prepayments) and biological assets in preparation process</v>
      </c>
      <c r="G22" s="288" t="s">
        <v>1063</v>
      </c>
      <c r="H22" s="280" t="s">
        <v>1034</v>
      </c>
      <c r="I22" s="288" t="s">
        <v>2680</v>
      </c>
      <c r="J22" s="370" t="s">
        <v>1985</v>
      </c>
      <c r="K22" s="369" t="s">
        <v>822</v>
      </c>
      <c r="L22" s="268" t="s">
        <v>792</v>
      </c>
      <c r="M22" s="289" t="s">
        <v>979</v>
      </c>
      <c r="N22" s="256" t="s">
        <v>2264</v>
      </c>
      <c r="O22" s="10"/>
      <c r="P22" s="10"/>
    </row>
    <row r="23" spans="1:16" ht="12.75" customHeight="1" x14ac:dyDescent="0.3">
      <c r="A23">
        <f t="shared" si="0"/>
        <v>22</v>
      </c>
      <c r="B23" t="s">
        <v>771</v>
      </c>
      <c r="C23">
        <v>1</v>
      </c>
      <c r="D23" s="227">
        <v>22</v>
      </c>
      <c r="E23" s="2" t="str">
        <f>VLOOKUP( T_Aop[[#This Row],[Id]], T_Aop[], ID_Jezik +10, 1)</f>
        <v>06</v>
      </c>
      <c r="F23" t="str">
        <f>REPT( "  ", T_Aop[[#This Row],[Aop nivo]]) &amp; VLOOKUP( T_Aop[[#This Row],[Id]], T_Aop[], ID_Jezik + 6, 1)</f>
        <v xml:space="preserve">  VI LONG TERM FINANCIAL INVESTMENTS (023 + 024 + 025 + 030 +033)</v>
      </c>
      <c r="G23" s="281" t="s">
        <v>1064</v>
      </c>
      <c r="H23" s="281" t="s">
        <v>1006</v>
      </c>
      <c r="I23" s="288" t="s">
        <v>2781</v>
      </c>
      <c r="J23" s="370" t="s">
        <v>1986</v>
      </c>
      <c r="K23" s="534" t="s">
        <v>2265</v>
      </c>
      <c r="L23" s="535" t="s">
        <v>2265</v>
      </c>
      <c r="M23" s="536" t="s">
        <v>2265</v>
      </c>
      <c r="N23" s="266" t="s">
        <v>2265</v>
      </c>
      <c r="O23" s="10">
        <v>1</v>
      </c>
      <c r="P23" s="10"/>
    </row>
    <row r="24" spans="1:16" x14ac:dyDescent="0.3">
      <c r="A24">
        <f t="shared" si="0"/>
        <v>23</v>
      </c>
      <c r="B24" t="s">
        <v>771</v>
      </c>
      <c r="C24">
        <v>2</v>
      </c>
      <c r="D24" s="227">
        <v>23</v>
      </c>
      <c r="E24" s="2" t="str">
        <f>VLOOKUP( T_Aop[[#This Row],[Id]], T_Aop[], ID_Jezik +10, 1)</f>
        <v>060, part 069</v>
      </c>
      <c r="F24" t="str">
        <f>REPT( "  ", T_Aop[[#This Row],[Aop nivo]]) &amp; VLOOKUP( T_Aop[[#This Row],[Id]], T_Aop[], ID_Jezik + 6, 1)</f>
        <v xml:space="preserve">    1. Shares in related legal entities</v>
      </c>
      <c r="G24" s="288" t="s">
        <v>1065</v>
      </c>
      <c r="H24" s="280" t="s">
        <v>1035</v>
      </c>
      <c r="I24" s="288" t="s">
        <v>2665</v>
      </c>
      <c r="J24" s="370" t="s">
        <v>1987</v>
      </c>
      <c r="K24" s="369" t="s">
        <v>823</v>
      </c>
      <c r="L24" s="268" t="s">
        <v>793</v>
      </c>
      <c r="M24" s="289" t="s">
        <v>980</v>
      </c>
      <c r="N24" s="256" t="s">
        <v>2266</v>
      </c>
      <c r="O24" s="10"/>
      <c r="P24" s="10"/>
    </row>
    <row r="25" spans="1:16" ht="12.75" customHeight="1" x14ac:dyDescent="0.3">
      <c r="A25">
        <f t="shared" si="0"/>
        <v>24</v>
      </c>
      <c r="B25" t="s">
        <v>771</v>
      </c>
      <c r="C25">
        <v>2</v>
      </c>
      <c r="D25" s="227">
        <v>24</v>
      </c>
      <c r="E25" s="2" t="str">
        <f>VLOOKUP( T_Aop[[#This Row],[Id]], T_Aop[], ID_Jezik +10, 1)</f>
        <v>061, part 069</v>
      </c>
      <c r="F25" t="str">
        <f>REPT( "  ", T_Aop[[#This Row],[Aop nivo]]) &amp; VLOOKUP( T_Aop[[#This Row],[Id]], T_Aop[], ID_Jezik + 6, 1)</f>
        <v xml:space="preserve">    2. Shares in associated entities and joint ventures</v>
      </c>
      <c r="G25" s="288" t="s">
        <v>1066</v>
      </c>
      <c r="H25" s="281" t="s">
        <v>1036</v>
      </c>
      <c r="I25" s="288" t="s">
        <v>2666</v>
      </c>
      <c r="J25" s="370" t="s">
        <v>1988</v>
      </c>
      <c r="K25" s="369" t="s">
        <v>2459</v>
      </c>
      <c r="L25" s="268" t="s">
        <v>794</v>
      </c>
      <c r="M25" s="289" t="s">
        <v>2460</v>
      </c>
      <c r="N25" s="256" t="s">
        <v>2267</v>
      </c>
      <c r="O25" s="10"/>
      <c r="P25" s="10"/>
    </row>
    <row r="26" spans="1:16" ht="15" customHeight="1" x14ac:dyDescent="0.3">
      <c r="A26">
        <f t="shared" si="0"/>
        <v>25</v>
      </c>
      <c r="B26" t="s">
        <v>771</v>
      </c>
      <c r="C26">
        <v>2</v>
      </c>
      <c r="D26" s="227">
        <v>25</v>
      </c>
      <c r="E26" s="2" t="str">
        <f>VLOOKUP( T_Aop[[#This Row],[Id]], T_Aop[], ID_Jezik +10, 1)</f>
        <v>part 06</v>
      </c>
      <c r="F26" t="str">
        <f>REPT( "  ", T_Aop[[#This Row],[Aop nivo]]) &amp; VLOOKUP( T_Aop[[#This Row],[Id]], T_Aop[], ID_Jezik + 6, 1)</f>
        <v xml:space="preserve">    3. Financial assets at amortised value (026 to 029)</v>
      </c>
      <c r="G26" s="288" t="s">
        <v>1067</v>
      </c>
      <c r="H26" s="286" t="s">
        <v>1043</v>
      </c>
      <c r="I26" s="288" t="s">
        <v>2667</v>
      </c>
      <c r="J26" s="370" t="s">
        <v>1989</v>
      </c>
      <c r="K26" s="369" t="s">
        <v>824</v>
      </c>
      <c r="L26" s="268" t="s">
        <v>795</v>
      </c>
      <c r="M26" s="289" t="s">
        <v>981</v>
      </c>
      <c r="N26" s="256" t="s">
        <v>2268</v>
      </c>
      <c r="O26" s="10">
        <v>1</v>
      </c>
      <c r="P26" s="10"/>
    </row>
    <row r="27" spans="1:16" x14ac:dyDescent="0.3">
      <c r="A27">
        <f t="shared" si="0"/>
        <v>26</v>
      </c>
      <c r="B27" t="s">
        <v>771</v>
      </c>
      <c r="C27">
        <v>3</v>
      </c>
      <c r="D27" s="227">
        <v>26</v>
      </c>
      <c r="E27" s="2" t="str">
        <f>VLOOKUP( T_Aop[[#This Row],[Id]], T_Aop[], ID_Jezik +10, 1)</f>
        <v>062, part 069</v>
      </c>
      <c r="F27" t="str">
        <f>REPT( "  ", T_Aop[[#This Row],[Aop nivo]]) &amp; VLOOKUP( T_Aop[[#This Row],[Id]], T_Aop[], ID_Jezik + 6, 1)</f>
        <v xml:space="preserve">      3.1. Long-term loans to related legal entities</v>
      </c>
      <c r="G27" s="288" t="s">
        <v>1068</v>
      </c>
      <c r="H27" s="281" t="s">
        <v>1037</v>
      </c>
      <c r="I27" s="288" t="s">
        <v>2668</v>
      </c>
      <c r="J27" s="370" t="s">
        <v>1990</v>
      </c>
      <c r="K27" s="369" t="s">
        <v>825</v>
      </c>
      <c r="L27" s="268" t="s">
        <v>796</v>
      </c>
      <c r="M27" s="289" t="s">
        <v>982</v>
      </c>
      <c r="N27" s="256" t="s">
        <v>2269</v>
      </c>
      <c r="O27" s="10"/>
      <c r="P27" s="10"/>
    </row>
    <row r="28" spans="1:16" x14ac:dyDescent="0.3">
      <c r="A28">
        <f t="shared" si="0"/>
        <v>27</v>
      </c>
      <c r="B28" t="s">
        <v>771</v>
      </c>
      <c r="C28">
        <v>3</v>
      </c>
      <c r="D28" s="227">
        <v>27</v>
      </c>
      <c r="E28" s="2" t="str">
        <f>VLOOKUP( T_Aop[[#This Row],[Id]], T_Aop[], ID_Jezik +10, 1)</f>
        <v>063, part 069</v>
      </c>
      <c r="F28" t="str">
        <f>REPT( "  ", T_Aop[[#This Row],[Aop nivo]]) &amp; VLOOKUP( T_Aop[[#This Row],[Id]], T_Aop[], ID_Jezik + 6, 1)</f>
        <v xml:space="preserve">      3.2. Domestic long-term loans</v>
      </c>
      <c r="G28" s="288" t="s">
        <v>1069</v>
      </c>
      <c r="H28" s="280" t="s">
        <v>1040</v>
      </c>
      <c r="I28" s="288" t="s">
        <v>2669</v>
      </c>
      <c r="J28" s="370" t="s">
        <v>1991</v>
      </c>
      <c r="K28" s="369" t="s">
        <v>826</v>
      </c>
      <c r="L28" s="268" t="s">
        <v>797</v>
      </c>
      <c r="M28" s="289" t="s">
        <v>983</v>
      </c>
      <c r="N28" s="256" t="s">
        <v>2270</v>
      </c>
      <c r="O28" s="10"/>
      <c r="P28" s="10"/>
    </row>
    <row r="29" spans="1:16" x14ac:dyDescent="0.3">
      <c r="A29">
        <f t="shared" si="0"/>
        <v>28</v>
      </c>
      <c r="B29" t="s">
        <v>771</v>
      </c>
      <c r="C29">
        <v>3</v>
      </c>
      <c r="D29" s="227">
        <v>28</v>
      </c>
      <c r="E29" s="2" t="str">
        <f>VLOOKUP( T_Aop[[#This Row],[Id]], T_Aop[], ID_Jezik +10, 1)</f>
        <v>064, part 069</v>
      </c>
      <c r="F29" t="str">
        <f>REPT( "  ", T_Aop[[#This Row],[Aop nivo]]) &amp; VLOOKUP( T_Aop[[#This Row],[Id]], T_Aop[], ID_Jezik + 6, 1)</f>
        <v xml:space="preserve">      3.3. Long-term loans abroad</v>
      </c>
      <c r="G29" s="288" t="s">
        <v>1070</v>
      </c>
      <c r="H29" s="281" t="s">
        <v>1038</v>
      </c>
      <c r="I29" s="288" t="s">
        <v>2670</v>
      </c>
      <c r="J29" s="370" t="s">
        <v>1992</v>
      </c>
      <c r="K29" s="369" t="s">
        <v>827</v>
      </c>
      <c r="L29" s="268" t="s">
        <v>798</v>
      </c>
      <c r="M29" s="289" t="s">
        <v>984</v>
      </c>
      <c r="N29" s="256" t="s">
        <v>2271</v>
      </c>
      <c r="O29" s="10"/>
      <c r="P29" s="10"/>
    </row>
    <row r="30" spans="1:16" ht="12.75" customHeight="1" x14ac:dyDescent="0.3">
      <c r="A30">
        <f t="shared" si="0"/>
        <v>29</v>
      </c>
      <c r="B30" t="s">
        <v>771</v>
      </c>
      <c r="C30">
        <v>3</v>
      </c>
      <c r="D30" s="227">
        <v>29</v>
      </c>
      <c r="E30" s="2" t="str">
        <f>VLOOKUP( T_Aop[[#This Row],[Id]], T_Aop[], ID_Jezik +10, 1)</f>
        <v>065, part 069</v>
      </c>
      <c r="F30" t="str">
        <f>REPT( "  ", T_Aop[[#This Row],[Aop nivo]]) &amp; VLOOKUP( T_Aop[[#This Row],[Id]], T_Aop[], ID_Jezik + 6, 1)</f>
        <v xml:space="preserve">      3.4. Other financial assets at amortised value</v>
      </c>
      <c r="G30" s="288" t="s">
        <v>1071</v>
      </c>
      <c r="H30" s="280" t="s">
        <v>1039</v>
      </c>
      <c r="I30" s="288" t="s">
        <v>2671</v>
      </c>
      <c r="J30" s="370" t="s">
        <v>1993</v>
      </c>
      <c r="K30" s="369" t="s">
        <v>828</v>
      </c>
      <c r="L30" s="268" t="s">
        <v>799</v>
      </c>
      <c r="M30" s="289" t="s">
        <v>985</v>
      </c>
      <c r="N30" s="256" t="s">
        <v>2272</v>
      </c>
      <c r="O30" s="10"/>
      <c r="P30" s="10"/>
    </row>
    <row r="31" spans="1:16" ht="15" customHeight="1" x14ac:dyDescent="0.3">
      <c r="A31">
        <f t="shared" si="0"/>
        <v>30</v>
      </c>
      <c r="B31" t="s">
        <v>771</v>
      </c>
      <c r="C31">
        <v>2</v>
      </c>
      <c r="D31" s="227">
        <v>30</v>
      </c>
      <c r="E31" s="2" t="str">
        <f>VLOOKUP( T_Aop[[#This Row],[Id]], T_Aop[], ID_Jezik +10, 1)</f>
        <v>part 06</v>
      </c>
      <c r="F31" t="str">
        <f>REPT( "  ", T_Aop[[#This Row],[Aop nivo]]) &amp; VLOOKUP( T_Aop[[#This Row],[Id]], T_Aop[], ID_Jezik + 6, 1)</f>
        <v xml:space="preserve">    4. Financial assets at fair value through other comprehensive income (031 + 032)</v>
      </c>
      <c r="G31" s="281" t="s">
        <v>1072</v>
      </c>
      <c r="H31" s="281" t="s">
        <v>1042</v>
      </c>
      <c r="I31" s="288" t="s">
        <v>1715</v>
      </c>
      <c r="J31" s="370" t="s">
        <v>1994</v>
      </c>
      <c r="K31" s="369" t="s">
        <v>824</v>
      </c>
      <c r="L31" s="268" t="s">
        <v>795</v>
      </c>
      <c r="M31" s="289" t="s">
        <v>981</v>
      </c>
      <c r="N31" s="256" t="s">
        <v>2268</v>
      </c>
      <c r="O31" s="10">
        <v>1</v>
      </c>
      <c r="P31" s="10"/>
    </row>
    <row r="32" spans="1:16" x14ac:dyDescent="0.3">
      <c r="A32">
        <f t="shared" si="0"/>
        <v>31</v>
      </c>
      <c r="B32" t="s">
        <v>771</v>
      </c>
      <c r="C32">
        <v>3</v>
      </c>
      <c r="D32" s="227">
        <v>31</v>
      </c>
      <c r="E32" s="2" t="str">
        <f>VLOOKUP( T_Aop[[#This Row],[Id]], T_Aop[], ID_Jezik +10, 1)</f>
        <v>066, part 069</v>
      </c>
      <c r="F32" t="str">
        <f>REPT( "  ", T_Aop[[#This Row],[Aop nivo]]) &amp; VLOOKUP( T_Aop[[#This Row],[Id]], T_Aop[], ID_Jezik + 6, 1)</f>
        <v xml:space="preserve">      4.1. Equity instruments</v>
      </c>
      <c r="G32" s="288" t="s">
        <v>840</v>
      </c>
      <c r="H32" s="280" t="s">
        <v>1041</v>
      </c>
      <c r="I32" s="288" t="s">
        <v>2672</v>
      </c>
      <c r="J32" s="370" t="s">
        <v>1995</v>
      </c>
      <c r="K32" s="369" t="s">
        <v>829</v>
      </c>
      <c r="L32" s="268" t="s">
        <v>800</v>
      </c>
      <c r="M32" s="289" t="s">
        <v>986</v>
      </c>
      <c r="N32" s="256" t="s">
        <v>2273</v>
      </c>
      <c r="O32" s="10"/>
      <c r="P32" s="10"/>
    </row>
    <row r="33" spans="1:16" x14ac:dyDescent="0.3">
      <c r="A33">
        <f t="shared" si="0"/>
        <v>32</v>
      </c>
      <c r="B33" t="s">
        <v>771</v>
      </c>
      <c r="C33">
        <v>3</v>
      </c>
      <c r="D33" s="227">
        <v>32</v>
      </c>
      <c r="E33" s="2" t="str">
        <f>VLOOKUP( T_Aop[[#This Row],[Id]], T_Aop[], ID_Jezik +10, 1)</f>
        <v>067, part 069</v>
      </c>
      <c r="F33" t="str">
        <f>REPT( "  ", T_Aop[[#This Row],[Aop nivo]]) &amp; VLOOKUP( T_Aop[[#This Row],[Id]], T_Aop[], ID_Jezik + 6, 1)</f>
        <v xml:space="preserve">      4.2. Debt instruments</v>
      </c>
      <c r="G33" s="288" t="s">
        <v>841</v>
      </c>
      <c r="H33" s="281" t="s">
        <v>1044</v>
      </c>
      <c r="I33" s="288" t="s">
        <v>2673</v>
      </c>
      <c r="J33" s="370" t="s">
        <v>1996</v>
      </c>
      <c r="K33" s="369" t="s">
        <v>2726</v>
      </c>
      <c r="L33" s="268" t="s">
        <v>801</v>
      </c>
      <c r="M33" s="289" t="s">
        <v>2727</v>
      </c>
      <c r="N33" s="256" t="s">
        <v>2274</v>
      </c>
      <c r="O33" s="10"/>
      <c r="P33" s="10"/>
    </row>
    <row r="34" spans="1:16" x14ac:dyDescent="0.3">
      <c r="A34">
        <f t="shared" si="0"/>
        <v>33</v>
      </c>
      <c r="B34" t="s">
        <v>771</v>
      </c>
      <c r="C34">
        <v>2</v>
      </c>
      <c r="D34" s="227">
        <v>33</v>
      </c>
      <c r="E34" s="2" t="str">
        <f>VLOOKUP( T_Aop[[#This Row],[Id]], T_Aop[], ID_Jezik +10, 1)</f>
        <v>068, part 069</v>
      </c>
      <c r="F34" t="str">
        <f>REPT( "  ", T_Aop[[#This Row],[Aop nivo]]) &amp; VLOOKUP( T_Aop[[#This Row],[Id]], T_Aop[], ID_Jezik + 6, 1)</f>
        <v xml:space="preserve">    5. Financial leasing receivables</v>
      </c>
      <c r="G34" s="288" t="s">
        <v>842</v>
      </c>
      <c r="H34" s="280" t="s">
        <v>1045</v>
      </c>
      <c r="I34" s="288" t="s">
        <v>2674</v>
      </c>
      <c r="J34" s="370" t="s">
        <v>1997</v>
      </c>
      <c r="K34" s="369" t="s">
        <v>830</v>
      </c>
      <c r="L34" s="268" t="s">
        <v>802</v>
      </c>
      <c r="M34" s="289" t="s">
        <v>987</v>
      </c>
      <c r="N34" s="256" t="s">
        <v>2275</v>
      </c>
      <c r="O34" s="10"/>
      <c r="P34" s="10"/>
    </row>
    <row r="35" spans="1:16" x14ac:dyDescent="0.3">
      <c r="A35">
        <f t="shared" si="0"/>
        <v>34</v>
      </c>
      <c r="B35" t="s">
        <v>771</v>
      </c>
      <c r="C35">
        <v>1</v>
      </c>
      <c r="D35" s="227">
        <v>34</v>
      </c>
      <c r="E35" s="2" t="str">
        <f>VLOOKUP( T_Aop[[#This Row],[Id]], T_Aop[], ID_Jezik +10, 1)</f>
        <v>07 and 08</v>
      </c>
      <c r="F35" t="str">
        <f>REPT( "  ", T_Aop[[#This Row],[Aop nivo]]) &amp; VLOOKUP( T_Aop[[#This Row],[Id]], T_Aop[], ID_Jezik + 6, 1)</f>
        <v xml:space="preserve">  VII OTHER LONG-TERM ASSETS AND DEFERRED INCOME</v>
      </c>
      <c r="G35" s="281" t="s">
        <v>2871</v>
      </c>
      <c r="H35" s="281" t="s">
        <v>782</v>
      </c>
      <c r="I35" s="288" t="s">
        <v>999</v>
      </c>
      <c r="J35" s="370" t="s">
        <v>1998</v>
      </c>
      <c r="K35" s="369" t="s">
        <v>831</v>
      </c>
      <c r="L35" s="268" t="s">
        <v>803</v>
      </c>
      <c r="M35" s="289" t="s">
        <v>988</v>
      </c>
      <c r="N35" s="256" t="s">
        <v>803</v>
      </c>
      <c r="O35" s="10"/>
      <c r="P35" s="10"/>
    </row>
    <row r="36" spans="1:16" x14ac:dyDescent="0.3">
      <c r="A36">
        <f t="shared" si="0"/>
        <v>35</v>
      </c>
      <c r="B36" t="s">
        <v>771</v>
      </c>
      <c r="C36">
        <v>1</v>
      </c>
      <c r="D36" s="227">
        <v>35</v>
      </c>
      <c r="E36" s="2" t="str">
        <f>VLOOKUP( T_Aop[[#This Row],[Id]], T_Aop[], ID_Jezik +10, 1)</f>
        <v>090</v>
      </c>
      <c r="F36" t="str">
        <f>REPT( "  ", T_Aop[[#This Row],[Aop nivo]]) &amp; VLOOKUP( T_Aop[[#This Row],[Id]], T_Aop[], ID_Jezik + 6, 1)</f>
        <v xml:space="preserve">  B  POSTPONED TAX FUNDS</v>
      </c>
      <c r="G36" s="281" t="s">
        <v>1073</v>
      </c>
      <c r="H36" s="280" t="s">
        <v>783</v>
      </c>
      <c r="I36" s="288" t="s">
        <v>2784</v>
      </c>
      <c r="J36" s="370" t="s">
        <v>1999</v>
      </c>
      <c r="K36" s="533" t="s">
        <v>2276</v>
      </c>
      <c r="L36" s="566" t="s">
        <v>2276</v>
      </c>
      <c r="M36" s="536" t="s">
        <v>2276</v>
      </c>
      <c r="N36" s="266" t="s">
        <v>2276</v>
      </c>
      <c r="O36" s="10"/>
      <c r="P36" s="10"/>
    </row>
    <row r="37" spans="1:16" x14ac:dyDescent="0.3">
      <c r="A37">
        <f t="shared" si="0"/>
        <v>36</v>
      </c>
      <c r="B37" t="s">
        <v>771</v>
      </c>
      <c r="C37">
        <v>1</v>
      </c>
      <c r="D37" s="227">
        <v>36</v>
      </c>
      <c r="E37" s="2" t="str">
        <f>VLOOKUP( T_Aop[[#This Row],[Id]], T_Aop[], ID_Jezik +10, 1)</f>
        <v xml:space="preserve"> </v>
      </c>
      <c r="F37" t="str">
        <f>REPT( "  ", T_Aop[[#This Row],[Aop nivo]]) &amp; VLOOKUP( T_Aop[[#This Row],[Id]], T_Aop[], ID_Jezik + 6, 1)</f>
        <v xml:space="preserve">  C. CURRENT ASSETS (037 + 044)</v>
      </c>
      <c r="G37" s="281" t="s">
        <v>1074</v>
      </c>
      <c r="H37" s="281" t="s">
        <v>784</v>
      </c>
      <c r="I37" s="288" t="s">
        <v>2785</v>
      </c>
      <c r="J37" s="370" t="s">
        <v>2000</v>
      </c>
      <c r="K37" s="369" t="s">
        <v>786</v>
      </c>
      <c r="L37" s="269" t="s">
        <v>786</v>
      </c>
      <c r="M37" s="289" t="s">
        <v>786</v>
      </c>
      <c r="N37" s="256"/>
      <c r="O37" s="10">
        <v>1</v>
      </c>
      <c r="P37" s="10"/>
    </row>
    <row r="38" spans="1:16" ht="15" customHeight="1" x14ac:dyDescent="0.3">
      <c r="A38">
        <f t="shared" si="0"/>
        <v>37</v>
      </c>
      <c r="B38" t="s">
        <v>771</v>
      </c>
      <c r="C38">
        <v>1</v>
      </c>
      <c r="D38" s="227">
        <v>37</v>
      </c>
      <c r="E38" s="2" t="str">
        <f>VLOOKUP( T_Aop[[#This Row],[Id]], T_Aop[], ID_Jezik +10, 1)</f>
        <v>10 to 15</v>
      </c>
      <c r="F38" t="str">
        <f>REPT( "  ", T_Aop[[#This Row],[Aop nivo]]) &amp; VLOOKUP( T_Aop[[#This Row],[Id]], T_Aop[], ID_Jezik + 6, 1)</f>
        <v xml:space="preserve">  I INVENTORIES, FIXED ASSETS AVAILABLE FOR SALE AND ASSETS OF DISCONTINUED OPERATIONS (038 to 043)</v>
      </c>
      <c r="G38" s="281" t="s">
        <v>2761</v>
      </c>
      <c r="H38" s="280" t="s">
        <v>1011</v>
      </c>
      <c r="I38" s="288" t="s">
        <v>2786</v>
      </c>
      <c r="J38" s="370" t="s">
        <v>2001</v>
      </c>
      <c r="K38" s="369" t="s">
        <v>71</v>
      </c>
      <c r="L38" s="268" t="s">
        <v>621</v>
      </c>
      <c r="M38" s="289" t="s">
        <v>45</v>
      </c>
      <c r="N38" s="256" t="s">
        <v>621</v>
      </c>
      <c r="O38" s="10">
        <v>1</v>
      </c>
      <c r="P38" s="10"/>
    </row>
    <row r="39" spans="1:16" x14ac:dyDescent="0.3">
      <c r="A39">
        <f t="shared" si="0"/>
        <v>38</v>
      </c>
      <c r="B39" t="s">
        <v>771</v>
      </c>
      <c r="C39">
        <v>2</v>
      </c>
      <c r="D39" s="227">
        <v>38</v>
      </c>
      <c r="E39" s="2" t="str">
        <f>VLOOKUP( T_Aop[[#This Row],[Id]], T_Aop[], ID_Jezik +10, 1)</f>
        <v>100 to 109</v>
      </c>
      <c r="F39" t="str">
        <f>REPT( "  ", T_Aop[[#This Row],[Aop nivo]]) &amp; VLOOKUP( T_Aop[[#This Row],[Id]], T_Aop[], ID_Jezik + 6, 1)</f>
        <v xml:space="preserve">    1. Inventory of materials</v>
      </c>
      <c r="G39" s="288" t="s">
        <v>81</v>
      </c>
      <c r="H39" s="281" t="s">
        <v>1015</v>
      </c>
      <c r="I39" s="288" t="s">
        <v>1716</v>
      </c>
      <c r="J39" s="370" t="s">
        <v>2002</v>
      </c>
      <c r="K39" s="369" t="s">
        <v>80</v>
      </c>
      <c r="L39" s="268" t="s">
        <v>622</v>
      </c>
      <c r="M39" s="289" t="s">
        <v>46</v>
      </c>
      <c r="N39" s="256" t="s">
        <v>622</v>
      </c>
      <c r="O39" s="10"/>
      <c r="P39" s="10"/>
    </row>
    <row r="40" spans="1:16" ht="12.75" customHeight="1" x14ac:dyDescent="0.3">
      <c r="A40">
        <f t="shared" si="0"/>
        <v>39</v>
      </c>
      <c r="B40" t="s">
        <v>771</v>
      </c>
      <c r="C40">
        <v>2</v>
      </c>
      <c r="D40" s="227">
        <v>39</v>
      </c>
      <c r="E40" s="2" t="str">
        <f>VLOOKUP( T_Aop[[#This Row],[Id]], T_Aop[], ID_Jezik +10, 1)</f>
        <v>110 to 119</v>
      </c>
      <c r="F40" t="str">
        <f>REPT( "  ", T_Aop[[#This Row],[Aop nivo]]) &amp; VLOOKUP( T_Aop[[#This Row],[Id]], T_Aop[], ID_Jezik + 6, 1)</f>
        <v xml:space="preserve">    2. Inventories of work in progress, unfinished products and services</v>
      </c>
      <c r="G40" s="288" t="s">
        <v>82</v>
      </c>
      <c r="H40" s="280" t="s">
        <v>1016</v>
      </c>
      <c r="I40" s="288" t="s">
        <v>1717</v>
      </c>
      <c r="J40" s="370" t="s">
        <v>2003</v>
      </c>
      <c r="K40" s="369" t="s">
        <v>623</v>
      </c>
      <c r="L40" s="268" t="s">
        <v>624</v>
      </c>
      <c r="M40" s="289" t="s">
        <v>625</v>
      </c>
      <c r="N40" s="256" t="s">
        <v>624</v>
      </c>
      <c r="O40" s="10"/>
      <c r="P40" s="10"/>
    </row>
    <row r="41" spans="1:16" x14ac:dyDescent="0.3">
      <c r="A41">
        <f t="shared" si="0"/>
        <v>40</v>
      </c>
      <c r="B41" t="s">
        <v>771</v>
      </c>
      <c r="C41">
        <v>2</v>
      </c>
      <c r="D41" s="227">
        <v>40</v>
      </c>
      <c r="E41" s="2" t="str">
        <f>VLOOKUP( T_Aop[[#This Row],[Id]], T_Aop[], ID_Jezik +10, 1)</f>
        <v>120 to 129</v>
      </c>
      <c r="F41" t="str">
        <f>REPT( "  ", T_Aop[[#This Row],[Aop nivo]]) &amp; VLOOKUP( T_Aop[[#This Row],[Id]], T_Aop[], ID_Jezik + 6, 1)</f>
        <v xml:space="preserve">    3. Inventory of finished products</v>
      </c>
      <c r="G41" s="288" t="s">
        <v>83</v>
      </c>
      <c r="H41" s="281" t="s">
        <v>1017</v>
      </c>
      <c r="I41" s="288" t="s">
        <v>1718</v>
      </c>
      <c r="J41" s="370" t="s">
        <v>2004</v>
      </c>
      <c r="K41" s="369" t="s">
        <v>626</v>
      </c>
      <c r="L41" s="268" t="s">
        <v>627</v>
      </c>
      <c r="M41" s="289" t="s">
        <v>628</v>
      </c>
      <c r="N41" s="256" t="s">
        <v>627</v>
      </c>
      <c r="O41" s="10"/>
      <c r="P41" s="10"/>
    </row>
    <row r="42" spans="1:16" x14ac:dyDescent="0.3">
      <c r="A42">
        <f t="shared" si="0"/>
        <v>41</v>
      </c>
      <c r="B42" t="s">
        <v>771</v>
      </c>
      <c r="C42">
        <v>2</v>
      </c>
      <c r="D42" s="227">
        <v>41</v>
      </c>
      <c r="E42" s="2" t="str">
        <f>VLOOKUP( T_Aop[[#This Row],[Id]], T_Aop[], ID_Jezik +10, 1)</f>
        <v>130 to 139</v>
      </c>
      <c r="F42" t="str">
        <f>REPT( "  ", T_Aop[[#This Row],[Aop nivo]]) &amp; VLOOKUP( T_Aop[[#This Row],[Id]], T_Aop[], ID_Jezik + 6, 1)</f>
        <v xml:space="preserve">    4. Inventory of merchandise goods</v>
      </c>
      <c r="G42" s="288" t="s">
        <v>85</v>
      </c>
      <c r="H42" s="280" t="s">
        <v>1018</v>
      </c>
      <c r="I42" s="288" t="s">
        <v>1719</v>
      </c>
      <c r="J42" s="370" t="s">
        <v>2005</v>
      </c>
      <c r="K42" s="369" t="s">
        <v>84</v>
      </c>
      <c r="L42" s="268" t="s">
        <v>629</v>
      </c>
      <c r="M42" s="289" t="s">
        <v>47</v>
      </c>
      <c r="N42" s="256" t="s">
        <v>629</v>
      </c>
      <c r="O42" s="10"/>
      <c r="P42" s="10"/>
    </row>
    <row r="43" spans="1:16" ht="12.75" customHeight="1" x14ac:dyDescent="0.3">
      <c r="A43">
        <f t="shared" si="0"/>
        <v>42</v>
      </c>
      <c r="B43" t="s">
        <v>771</v>
      </c>
      <c r="C43">
        <v>2</v>
      </c>
      <c r="D43" s="227">
        <v>42</v>
      </c>
      <c r="E43" s="2" t="str">
        <f>VLOOKUP( T_Aop[[#This Row],[Id]], T_Aop[], ID_Jezik +10, 1)</f>
        <v>140 to 149</v>
      </c>
      <c r="F43" t="str">
        <f>REPT( "  ", T_Aop[[#This Row],[Aop nivo]]) &amp; VLOOKUP( T_Aop[[#This Row],[Id]], T_Aop[], ID_Jezik + 6, 1)</f>
        <v xml:space="preserve">    5. Fixed assets and assests of discontinued operations available for sale</v>
      </c>
      <c r="G43" s="288" t="s">
        <v>1075</v>
      </c>
      <c r="H43" s="281" t="s">
        <v>1019</v>
      </c>
      <c r="I43" s="288" t="s">
        <v>1720</v>
      </c>
      <c r="J43" s="370" t="s">
        <v>2006</v>
      </c>
      <c r="K43" s="369" t="s">
        <v>86</v>
      </c>
      <c r="L43" s="268" t="s">
        <v>630</v>
      </c>
      <c r="M43" s="289" t="s">
        <v>48</v>
      </c>
      <c r="N43" s="256" t="s">
        <v>630</v>
      </c>
      <c r="O43" s="10"/>
      <c r="P43" s="10"/>
    </row>
    <row r="44" spans="1:16" x14ac:dyDescent="0.3">
      <c r="A44">
        <f t="shared" si="0"/>
        <v>43</v>
      </c>
      <c r="B44" t="s">
        <v>771</v>
      </c>
      <c r="C44">
        <v>2</v>
      </c>
      <c r="D44" s="227">
        <v>43</v>
      </c>
      <c r="E44" s="2" t="str">
        <f>VLOOKUP( T_Aop[[#This Row],[Id]], T_Aop[], ID_Jezik +10, 1)</f>
        <v>150 to 159</v>
      </c>
      <c r="F44" t="str">
        <f>REPT( "  ", T_Aop[[#This Row],[Aop nivo]]) &amp; VLOOKUP( T_Aop[[#This Row],[Id]], T_Aop[], ID_Jezik + 6, 1)</f>
        <v xml:space="preserve">    6. Advances paid (prepayments)</v>
      </c>
      <c r="G44" s="288" t="s">
        <v>72</v>
      </c>
      <c r="H44" s="280" t="s">
        <v>1020</v>
      </c>
      <c r="I44" s="288" t="s">
        <v>1721</v>
      </c>
      <c r="J44" s="370" t="s">
        <v>2007</v>
      </c>
      <c r="K44" s="369" t="s">
        <v>87</v>
      </c>
      <c r="L44" s="268" t="s">
        <v>631</v>
      </c>
      <c r="M44" s="289" t="s">
        <v>49</v>
      </c>
      <c r="N44" s="256" t="s">
        <v>631</v>
      </c>
      <c r="O44" s="10"/>
      <c r="P44" s="10"/>
    </row>
    <row r="45" spans="1:16" ht="15" customHeight="1" x14ac:dyDescent="0.3">
      <c r="A45">
        <f t="shared" si="0"/>
        <v>44</v>
      </c>
      <c r="B45" t="s">
        <v>771</v>
      </c>
      <c r="C45">
        <v>1</v>
      </c>
      <c r="D45" s="227">
        <v>44</v>
      </c>
      <c r="E45" s="2" t="str">
        <f>VLOOKUP( T_Aop[[#This Row],[Id]], T_Aop[], ID_Jezik +10, 1)</f>
        <v xml:space="preserve"> </v>
      </c>
      <c r="F45" t="str">
        <f>REPT( "  ", T_Aop[[#This Row],[Aop nivo]]) &amp; VLOOKUP( T_Aop[[#This Row],[Id]], T_Aop[], ID_Jezik + 6, 1)</f>
        <v xml:space="preserve">  II CURRENT ASSETS EXCLUDING INVENTORIES AND FIXED ASSETS FOR SALE (045 + 052 + 061 + 064 + 065)</v>
      </c>
      <c r="G45" s="288" t="s">
        <v>2711</v>
      </c>
      <c r="H45" s="281" t="s">
        <v>1010</v>
      </c>
      <c r="I45" s="288" t="s">
        <v>1000</v>
      </c>
      <c r="J45" s="288" t="s">
        <v>2008</v>
      </c>
      <c r="K45" s="269" t="s">
        <v>786</v>
      </c>
      <c r="L45" s="268"/>
      <c r="M45" s="289" t="s">
        <v>786</v>
      </c>
      <c r="N45" s="256"/>
      <c r="O45" s="10">
        <v>1</v>
      </c>
      <c r="P45" s="10"/>
    </row>
    <row r="46" spans="1:16" x14ac:dyDescent="0.3">
      <c r="A46">
        <f t="shared" si="0"/>
        <v>45</v>
      </c>
      <c r="B46" t="s">
        <v>771</v>
      </c>
      <c r="C46">
        <v>2</v>
      </c>
      <c r="D46" s="227">
        <v>45</v>
      </c>
      <c r="E46" s="2" t="str">
        <f>VLOOKUP( T_Aop[[#This Row],[Id]], T_Aop[], ID_Jezik +10, 1)</f>
        <v xml:space="preserve"> </v>
      </c>
      <c r="F46" t="str">
        <f>REPT( "  ", T_Aop[[#This Row],[Aop nivo]]) &amp; VLOOKUP( T_Aop[[#This Row],[Id]], T_Aop[], ID_Jezik + 6, 1)</f>
        <v xml:space="preserve">    1. Short-term receivables (046 to 051)</v>
      </c>
      <c r="G46" s="288" t="s">
        <v>843</v>
      </c>
      <c r="H46" s="280" t="s">
        <v>1014</v>
      </c>
      <c r="I46" s="288" t="s">
        <v>1722</v>
      </c>
      <c r="J46" s="370" t="s">
        <v>2009</v>
      </c>
      <c r="K46" s="369" t="s">
        <v>786</v>
      </c>
      <c r="L46" s="268"/>
      <c r="M46" s="289" t="s">
        <v>786</v>
      </c>
      <c r="N46" s="256"/>
      <c r="O46" s="10"/>
      <c r="P46" s="10"/>
    </row>
    <row r="47" spans="1:16" x14ac:dyDescent="0.3">
      <c r="A47">
        <f t="shared" si="0"/>
        <v>46</v>
      </c>
      <c r="B47" t="s">
        <v>771</v>
      </c>
      <c r="C47">
        <v>3</v>
      </c>
      <c r="D47" s="227">
        <v>46</v>
      </c>
      <c r="E47" s="2" t="str">
        <f>VLOOKUP( T_Aop[[#This Row],[Id]], T_Aop[], ID_Jezik +10, 1)</f>
        <v>200, part 209</v>
      </c>
      <c r="F47" t="str">
        <f>REPT( "  ", T_Aop[[#This Row],[Aop nivo]]) &amp; VLOOKUP( T_Aop[[#This Row],[Id]], T_Aop[], ID_Jezik + 6, 1)</f>
        <v xml:space="preserve">      1.1. Customers - related legal entities</v>
      </c>
      <c r="G47" s="288" t="s">
        <v>844</v>
      </c>
      <c r="H47" s="281" t="s">
        <v>1589</v>
      </c>
      <c r="I47" s="288" t="s">
        <v>1723</v>
      </c>
      <c r="J47" s="370" t="s">
        <v>2807</v>
      </c>
      <c r="K47" s="369" t="s">
        <v>88</v>
      </c>
      <c r="L47" s="268" t="s">
        <v>632</v>
      </c>
      <c r="M47" s="289" t="s">
        <v>6</v>
      </c>
      <c r="N47" s="256" t="s">
        <v>2277</v>
      </c>
      <c r="O47" s="10"/>
      <c r="P47" s="10"/>
    </row>
    <row r="48" spans="1:16" x14ac:dyDescent="0.3">
      <c r="A48">
        <f t="shared" si="0"/>
        <v>47</v>
      </c>
      <c r="B48" t="s">
        <v>771</v>
      </c>
      <c r="C48">
        <v>3</v>
      </c>
      <c r="D48" s="227">
        <v>47</v>
      </c>
      <c r="E48" s="2" t="str">
        <f>VLOOKUP( T_Aop[[#This Row],[Id]], T_Aop[], ID_Jezik +10, 1)</f>
        <v>201, 202, 203, part 209</v>
      </c>
      <c r="F48" t="str">
        <f>REPT( "  ", T_Aop[[#This Row],[Aop nivo]]) &amp; VLOOKUP( T_Aop[[#This Row],[Id]], T_Aop[], ID_Jezik + 6, 1)</f>
        <v xml:space="preserve">      1.2. Domestic customers</v>
      </c>
      <c r="G48" s="288" t="s">
        <v>845</v>
      </c>
      <c r="H48" s="280" t="s">
        <v>1586</v>
      </c>
      <c r="I48" s="288" t="s">
        <v>1724</v>
      </c>
      <c r="J48" s="370" t="s">
        <v>2808</v>
      </c>
      <c r="K48" s="369" t="s">
        <v>633</v>
      </c>
      <c r="L48" s="268" t="s">
        <v>804</v>
      </c>
      <c r="M48" s="289" t="s">
        <v>634</v>
      </c>
      <c r="N48" s="256" t="s">
        <v>2278</v>
      </c>
      <c r="O48" s="10"/>
      <c r="P48" s="10"/>
    </row>
    <row r="49" spans="1:16" x14ac:dyDescent="0.3">
      <c r="A49">
        <f t="shared" si="0"/>
        <v>48</v>
      </c>
      <c r="B49" t="s">
        <v>771</v>
      </c>
      <c r="C49">
        <v>3</v>
      </c>
      <c r="D49" s="227">
        <v>48</v>
      </c>
      <c r="E49" s="2" t="str">
        <f>VLOOKUP( T_Aop[[#This Row],[Id]], T_Aop[], ID_Jezik +10, 1)</f>
        <v>204, part 209</v>
      </c>
      <c r="F49" t="str">
        <f>REPT( "  ", T_Aop[[#This Row],[Aop nivo]]) &amp; VLOOKUP( T_Aop[[#This Row],[Id]], T_Aop[], ID_Jezik + 6, 1)</f>
        <v xml:space="preserve">      1.3. Foreign customers</v>
      </c>
      <c r="G49" s="288" t="s">
        <v>846</v>
      </c>
      <c r="H49" s="281" t="s">
        <v>1587</v>
      </c>
      <c r="I49" s="288" t="s">
        <v>1725</v>
      </c>
      <c r="J49" s="370" t="s">
        <v>2809</v>
      </c>
      <c r="K49" s="369" t="s">
        <v>635</v>
      </c>
      <c r="L49" s="268" t="s">
        <v>636</v>
      </c>
      <c r="M49" s="289" t="s">
        <v>637</v>
      </c>
      <c r="N49" s="256" t="s">
        <v>2279</v>
      </c>
      <c r="O49" s="10"/>
      <c r="P49" s="10"/>
    </row>
    <row r="50" spans="1:16" x14ac:dyDescent="0.3">
      <c r="A50">
        <f t="shared" si="0"/>
        <v>49</v>
      </c>
      <c r="B50" t="s">
        <v>771</v>
      </c>
      <c r="C50">
        <v>3</v>
      </c>
      <c r="D50" s="227">
        <v>49</v>
      </c>
      <c r="E50" s="2" t="str">
        <f>VLOOKUP( T_Aop[[#This Row],[Id]], T_Aop[], ID_Jezik +10, 1)</f>
        <v>group 21, except 214</v>
      </c>
      <c r="F50" t="str">
        <f>REPT( "  ", T_Aop[[#This Row],[Aop nivo]]) &amp; VLOOKUP( T_Aop[[#This Row],[Id]], T_Aop[], ID_Jezik + 6, 1)</f>
        <v xml:space="preserve">      1.4. Receivables from specific operations</v>
      </c>
      <c r="G50" s="288" t="s">
        <v>847</v>
      </c>
      <c r="H50" s="280" t="s">
        <v>1588</v>
      </c>
      <c r="I50" s="288" t="s">
        <v>1726</v>
      </c>
      <c r="J50" s="370" t="s">
        <v>2810</v>
      </c>
      <c r="K50" s="369" t="s">
        <v>832</v>
      </c>
      <c r="L50" s="268" t="s">
        <v>805</v>
      </c>
      <c r="M50" s="289" t="s">
        <v>989</v>
      </c>
      <c r="N50" s="256" t="s">
        <v>2280</v>
      </c>
      <c r="O50" s="10"/>
      <c r="P50" s="10"/>
    </row>
    <row r="51" spans="1:16" x14ac:dyDescent="0.3">
      <c r="A51">
        <f t="shared" si="0"/>
        <v>50</v>
      </c>
      <c r="B51" t="s">
        <v>771</v>
      </c>
      <c r="C51">
        <v>3</v>
      </c>
      <c r="D51" s="227">
        <v>50</v>
      </c>
      <c r="E51" s="2" t="str">
        <f>VLOOKUP( T_Aop[[#This Row],[Id]], T_Aop[], ID_Jezik +10, 1)</f>
        <v>group 22, except 224</v>
      </c>
      <c r="F51" t="str">
        <f>REPT( "  ", T_Aop[[#This Row],[Aop nivo]]) &amp; VLOOKUP( T_Aop[[#This Row],[Id]], T_Aop[], ID_Jezik + 6, 1)</f>
        <v xml:space="preserve">      1.5. Other short-term receivables</v>
      </c>
      <c r="G51" s="288" t="s">
        <v>848</v>
      </c>
      <c r="H51" s="281" t="s">
        <v>1590</v>
      </c>
      <c r="I51" s="288" t="s">
        <v>1727</v>
      </c>
      <c r="J51" s="370" t="s">
        <v>2811</v>
      </c>
      <c r="K51" s="369" t="s">
        <v>833</v>
      </c>
      <c r="L51" s="268" t="s">
        <v>806</v>
      </c>
      <c r="M51" s="289" t="s">
        <v>990</v>
      </c>
      <c r="N51" s="256" t="s">
        <v>2281</v>
      </c>
      <c r="O51" s="10"/>
      <c r="P51" s="10"/>
    </row>
    <row r="52" spans="1:16" x14ac:dyDescent="0.3">
      <c r="A52">
        <f t="shared" si="0"/>
        <v>51</v>
      </c>
      <c r="B52" t="s">
        <v>771</v>
      </c>
      <c r="C52">
        <v>3</v>
      </c>
      <c r="D52" s="227">
        <v>51</v>
      </c>
      <c r="E52" s="2">
        <f>VLOOKUP( T_Aop[[#This Row],[Id]], T_Aop[], ID_Jezik +10, 1)</f>
        <v>224</v>
      </c>
      <c r="F52" t="str">
        <f>REPT( "  ", T_Aop[[#This Row],[Aop nivo]]) &amp; VLOOKUP( T_Aop[[#This Row],[Id]], T_Aop[], ID_Jezik + 6, 1)</f>
        <v xml:space="preserve">      1.6. Receivables for overpaid income tax</v>
      </c>
      <c r="G52" s="288" t="s">
        <v>849</v>
      </c>
      <c r="H52" s="280" t="s">
        <v>1591</v>
      </c>
      <c r="I52" s="288" t="s">
        <v>1728</v>
      </c>
      <c r="J52" s="370" t="s">
        <v>2812</v>
      </c>
      <c r="K52" s="369">
        <v>224</v>
      </c>
      <c r="L52" s="268">
        <v>224</v>
      </c>
      <c r="M52" s="289">
        <v>224</v>
      </c>
      <c r="N52" s="256">
        <v>224</v>
      </c>
      <c r="O52" s="10"/>
      <c r="P52" s="10"/>
    </row>
    <row r="53" spans="1:16" ht="15" customHeight="1" x14ac:dyDescent="0.3">
      <c r="A53">
        <f t="shared" si="0"/>
        <v>52</v>
      </c>
      <c r="B53" t="s">
        <v>771</v>
      </c>
      <c r="C53">
        <v>2</v>
      </c>
      <c r="D53" s="227">
        <v>52</v>
      </c>
      <c r="E53" s="2" t="str">
        <f>VLOOKUP( T_Aop[[#This Row],[Id]], T_Aop[], ID_Jezik +10, 1)</f>
        <v xml:space="preserve"> </v>
      </c>
      <c r="F53" t="str">
        <f>REPT( "  ", T_Aop[[#This Row],[Aop nivo]]) &amp; VLOOKUP( T_Aop[[#This Row],[Id]], T_Aop[], ID_Jezik + 6, 1)</f>
        <v xml:space="preserve">    2. Short-term financial investments ( 053 + 058 + 059 + 060)</v>
      </c>
      <c r="G53" s="288" t="s">
        <v>850</v>
      </c>
      <c r="H53" s="281" t="s">
        <v>785</v>
      </c>
      <c r="I53" s="288" t="s">
        <v>1001</v>
      </c>
      <c r="J53" s="370" t="s">
        <v>2010</v>
      </c>
      <c r="K53" s="369" t="s">
        <v>786</v>
      </c>
      <c r="L53" s="268"/>
      <c r="M53" s="289" t="s">
        <v>786</v>
      </c>
      <c r="N53" s="256"/>
      <c r="O53" s="10">
        <v>1</v>
      </c>
      <c r="P53" s="10"/>
    </row>
    <row r="54" spans="1:16" ht="12.75" customHeight="1" x14ac:dyDescent="0.3">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Financial assets at amortised value (054 to 057)</v>
      </c>
      <c r="G54" s="288" t="s">
        <v>2769</v>
      </c>
      <c r="H54" s="280" t="s">
        <v>1584</v>
      </c>
      <c r="I54" s="288" t="s">
        <v>1729</v>
      </c>
      <c r="J54" s="370" t="s">
        <v>2813</v>
      </c>
      <c r="K54" s="369" t="s">
        <v>786</v>
      </c>
      <c r="L54" s="268"/>
      <c r="M54" s="289" t="s">
        <v>786</v>
      </c>
      <c r="N54" s="256"/>
      <c r="O54" s="10">
        <v>1</v>
      </c>
      <c r="P54" s="10"/>
    </row>
    <row r="55" spans="1:16" x14ac:dyDescent="0.3">
      <c r="A55">
        <f t="shared" si="0"/>
        <v>54</v>
      </c>
      <c r="B55" t="s">
        <v>771</v>
      </c>
      <c r="C55">
        <v>4</v>
      </c>
      <c r="D55" s="227">
        <v>54</v>
      </c>
      <c r="E55" s="2" t="str">
        <f>VLOOKUP( T_Aop[[#This Row],[Id]], T_Aop[], ID_Jezik +10, 1)</f>
        <v>230, part 238</v>
      </c>
      <c r="F55" t="str">
        <f>REPT( "  ", T_Aop[[#This Row],[Aop nivo]]) &amp; VLOOKUP( T_Aop[[#This Row],[Id]], T_Aop[], ID_Jezik + 6, 1)</f>
        <v xml:space="preserve">        a) Short-term loans to related legal entities</v>
      </c>
      <c r="G55" s="288" t="s">
        <v>90</v>
      </c>
      <c r="H55" s="281" t="s">
        <v>1581</v>
      </c>
      <c r="I55" s="288" t="s">
        <v>1730</v>
      </c>
      <c r="J55" s="370" t="s">
        <v>2011</v>
      </c>
      <c r="K55" s="369" t="s">
        <v>834</v>
      </c>
      <c r="L55" s="268" t="s">
        <v>807</v>
      </c>
      <c r="M55" s="289" t="s">
        <v>991</v>
      </c>
      <c r="N55" s="256" t="s">
        <v>2282</v>
      </c>
      <c r="O55" s="10"/>
      <c r="P55" s="10"/>
    </row>
    <row r="56" spans="1:16" x14ac:dyDescent="0.3">
      <c r="A56">
        <f t="shared" si="0"/>
        <v>55</v>
      </c>
      <c r="B56" t="s">
        <v>771</v>
      </c>
      <c r="C56">
        <v>4</v>
      </c>
      <c r="D56" s="227">
        <v>55</v>
      </c>
      <c r="E56" s="2" t="str">
        <f>VLOOKUP( T_Aop[[#This Row],[Id]], T_Aop[], ID_Jezik +10, 1)</f>
        <v>231, part 238</v>
      </c>
      <c r="F56" t="str">
        <f>REPT( "  ", T_Aop[[#This Row],[Aop nivo]]) &amp; VLOOKUP( T_Aop[[#This Row],[Id]], T_Aop[], ID_Jezik + 6, 1)</f>
        <v xml:space="preserve">        b) Domestic short-term loans</v>
      </c>
      <c r="G56" s="288" t="s">
        <v>91</v>
      </c>
      <c r="H56" s="280" t="s">
        <v>1582</v>
      </c>
      <c r="I56" s="288" t="s">
        <v>1731</v>
      </c>
      <c r="J56" s="370" t="s">
        <v>2012</v>
      </c>
      <c r="K56" s="369" t="s">
        <v>835</v>
      </c>
      <c r="L56" s="268" t="s">
        <v>808</v>
      </c>
      <c r="M56" s="289" t="s">
        <v>992</v>
      </c>
      <c r="N56" s="266" t="s">
        <v>2283</v>
      </c>
      <c r="O56" s="10"/>
      <c r="P56" s="10"/>
    </row>
    <row r="57" spans="1:16" x14ac:dyDescent="0.3">
      <c r="A57">
        <f t="shared" si="0"/>
        <v>56</v>
      </c>
      <c r="B57" t="s">
        <v>771</v>
      </c>
      <c r="C57">
        <v>4</v>
      </c>
      <c r="D57" s="227">
        <v>56</v>
      </c>
      <c r="E57" s="2" t="str">
        <f>VLOOKUP( T_Aop[[#This Row],[Id]], T_Aop[], ID_Jezik +10, 1)</f>
        <v>232, part 238</v>
      </c>
      <c r="F57" t="str">
        <f>REPT( "  ", T_Aop[[#This Row],[Aop nivo]]) &amp; VLOOKUP( T_Aop[[#This Row],[Id]], T_Aop[], ID_Jezik + 6, 1)</f>
        <v xml:space="preserve">        c) Short-term loans abroad</v>
      </c>
      <c r="G57" s="288" t="s">
        <v>1076</v>
      </c>
      <c r="H57" s="281" t="s">
        <v>1585</v>
      </c>
      <c r="I57" s="288" t="s">
        <v>1732</v>
      </c>
      <c r="J57" s="370" t="s">
        <v>2013</v>
      </c>
      <c r="K57" s="369" t="s">
        <v>836</v>
      </c>
      <c r="L57" s="268" t="s">
        <v>809</v>
      </c>
      <c r="M57" s="289" t="s">
        <v>993</v>
      </c>
      <c r="N57" s="266" t="s">
        <v>2284</v>
      </c>
      <c r="O57" s="10"/>
      <c r="P57" s="10"/>
    </row>
    <row r="58" spans="1:16" x14ac:dyDescent="0.3">
      <c r="A58">
        <f t="shared" si="0"/>
        <v>57</v>
      </c>
      <c r="B58" t="s">
        <v>771</v>
      </c>
      <c r="C58">
        <v>4</v>
      </c>
      <c r="D58" s="227">
        <v>57</v>
      </c>
      <c r="E58" s="2" t="str">
        <f>VLOOKUP( T_Aop[[#This Row],[Id]], T_Aop[], ID_Jezik +10, 1)</f>
        <v>233, part 238</v>
      </c>
      <c r="F58" t="str">
        <f>REPT( "  ", T_Aop[[#This Row],[Aop nivo]]) &amp; VLOOKUP( T_Aop[[#This Row],[Id]], T_Aop[], ID_Jezik + 6, 1)</f>
        <v xml:space="preserve">        d) Other financial assets at amortised value</v>
      </c>
      <c r="G58" s="288" t="s">
        <v>1077</v>
      </c>
      <c r="H58" s="280" t="s">
        <v>1583</v>
      </c>
      <c r="I58" s="288" t="s">
        <v>1733</v>
      </c>
      <c r="J58" s="370" t="s">
        <v>2014</v>
      </c>
      <c r="K58" s="369" t="s">
        <v>837</v>
      </c>
      <c r="L58" s="268" t="s">
        <v>810</v>
      </c>
      <c r="M58" s="289" t="s">
        <v>994</v>
      </c>
      <c r="N58" s="266" t="s">
        <v>2285</v>
      </c>
      <c r="O58" s="10"/>
      <c r="P58" s="10"/>
    </row>
    <row r="59" spans="1:16" ht="12.75" customHeight="1" x14ac:dyDescent="0.3">
      <c r="A59">
        <f t="shared" si="0"/>
        <v>58</v>
      </c>
      <c r="B59" t="s">
        <v>771</v>
      </c>
      <c r="C59">
        <v>3</v>
      </c>
      <c r="D59" s="227">
        <v>58</v>
      </c>
      <c r="E59" s="2" t="str">
        <f>VLOOKUP( T_Aop[[#This Row],[Id]], T_Aop[], ID_Jezik +10, 1)</f>
        <v>235 and 236</v>
      </c>
      <c r="F59" t="str">
        <f>REPT( "  ", T_Aop[[#This Row],[Aop nivo]]) &amp; VLOOKUP( T_Aop[[#This Row],[Id]], T_Aop[], ID_Jezik + 6, 1)</f>
        <v xml:space="preserve">      2.2. Financial assets at fair value through profit and loss</v>
      </c>
      <c r="G59" s="288" t="s">
        <v>2774</v>
      </c>
      <c r="H59" s="281" t="s">
        <v>2775</v>
      </c>
      <c r="I59" s="288" t="s">
        <v>1734</v>
      </c>
      <c r="J59" s="370" t="s">
        <v>2814</v>
      </c>
      <c r="K59" s="369" t="s">
        <v>2728</v>
      </c>
      <c r="L59" s="268" t="s">
        <v>811</v>
      </c>
      <c r="M59" s="289" t="s">
        <v>2729</v>
      </c>
      <c r="N59" s="266" t="s">
        <v>811</v>
      </c>
      <c r="O59" s="10"/>
      <c r="P59" s="10"/>
    </row>
    <row r="60" spans="1:16" x14ac:dyDescent="0.3">
      <c r="A60">
        <f t="shared" si="0"/>
        <v>59</v>
      </c>
      <c r="B60" t="s">
        <v>771</v>
      </c>
      <c r="C60">
        <v>3</v>
      </c>
      <c r="D60" s="227">
        <v>59</v>
      </c>
      <c r="E60" s="2" t="str">
        <f>VLOOKUP( T_Aop[[#This Row],[Id]], T_Aop[], ID_Jezik +10, 1)</f>
        <v>234, 239</v>
      </c>
      <c r="F60" t="str">
        <f>REPT( "  ", T_Aop[[#This Row],[Aop nivo]]) &amp; VLOOKUP( T_Aop[[#This Row],[Id]], T_Aop[], ID_Jezik + 6, 1)</f>
        <v xml:space="preserve">      2.3. Financial leasing receivables</v>
      </c>
      <c r="G60" s="288" t="s">
        <v>2688</v>
      </c>
      <c r="H60" s="280" t="s">
        <v>1742</v>
      </c>
      <c r="I60" s="288" t="s">
        <v>1735</v>
      </c>
      <c r="J60" s="370" t="s">
        <v>2815</v>
      </c>
      <c r="K60" s="369" t="s">
        <v>812</v>
      </c>
      <c r="L60" s="268" t="s">
        <v>812</v>
      </c>
      <c r="M60" s="289" t="s">
        <v>812</v>
      </c>
      <c r="N60" s="266" t="s">
        <v>812</v>
      </c>
      <c r="O60" s="10"/>
      <c r="P60" s="10"/>
    </row>
    <row r="61" spans="1:16" x14ac:dyDescent="0.3">
      <c r="A61">
        <f t="shared" si="0"/>
        <v>60</v>
      </c>
      <c r="B61" t="s">
        <v>771</v>
      </c>
      <c r="C61">
        <v>3</v>
      </c>
      <c r="D61" s="227">
        <v>60</v>
      </c>
      <c r="E61" s="2">
        <f>VLOOKUP( T_Aop[[#This Row],[Id]], T_Aop[], ID_Jezik +10, 1)</f>
        <v>214</v>
      </c>
      <c r="F61" t="str">
        <f>REPT( "  ", T_Aop[[#This Row],[Aop nivo]]) &amp; VLOOKUP( T_Aop[[#This Row],[Id]], T_Aop[], ID_Jezik + 6, 1)</f>
        <v xml:space="preserve">      2.4. Derivative financial assets</v>
      </c>
      <c r="G61" s="288" t="s">
        <v>851</v>
      </c>
      <c r="H61" s="281" t="s">
        <v>1743</v>
      </c>
      <c r="I61" s="288" t="s">
        <v>1736</v>
      </c>
      <c r="J61" s="370" t="s">
        <v>2816</v>
      </c>
      <c r="K61" s="369">
        <v>214</v>
      </c>
      <c r="L61" s="268">
        <v>214</v>
      </c>
      <c r="M61" s="289">
        <v>214</v>
      </c>
      <c r="N61" s="266">
        <v>214</v>
      </c>
      <c r="O61" s="10"/>
      <c r="P61" s="10"/>
    </row>
    <row r="62" spans="1:16" x14ac:dyDescent="0.3">
      <c r="A62">
        <f t="shared" si="0"/>
        <v>61</v>
      </c>
      <c r="B62" t="s">
        <v>771</v>
      </c>
      <c r="C62">
        <v>2</v>
      </c>
      <c r="D62" s="227">
        <v>61</v>
      </c>
      <c r="E62" s="2">
        <f>VLOOKUP( T_Aop[[#This Row],[Id]], T_Aop[], ID_Jezik +10, 1)</f>
        <v>24</v>
      </c>
      <c r="F62" t="str">
        <f>REPT( "  ", T_Aop[[#This Row],[Aop nivo]]) &amp; VLOOKUP( T_Aop[[#This Row],[Id]], T_Aop[], ID_Jezik + 6, 1)</f>
        <v xml:space="preserve">    3. Cash equivalents and cash (062 + 063)</v>
      </c>
      <c r="G62" s="288" t="s">
        <v>852</v>
      </c>
      <c r="H62" s="280" t="s">
        <v>1745</v>
      </c>
      <c r="I62" s="288" t="s">
        <v>1737</v>
      </c>
      <c r="J62" s="370" t="s">
        <v>2015</v>
      </c>
      <c r="K62" s="369">
        <v>24</v>
      </c>
      <c r="L62" s="268">
        <v>24</v>
      </c>
      <c r="M62" s="289">
        <v>24</v>
      </c>
      <c r="N62" s="266">
        <v>24</v>
      </c>
      <c r="O62" s="10">
        <v>1</v>
      </c>
      <c r="P62" s="10"/>
    </row>
    <row r="63" spans="1:16" x14ac:dyDescent="0.3">
      <c r="A63">
        <f t="shared" si="0"/>
        <v>62</v>
      </c>
      <c r="B63" t="s">
        <v>771</v>
      </c>
      <c r="C63">
        <v>3</v>
      </c>
      <c r="D63" s="227">
        <v>62</v>
      </c>
      <c r="E63" s="2" t="str">
        <f>VLOOKUP( T_Aop[[#This Row],[Id]], T_Aop[], ID_Jezik +10, 1)</f>
        <v>240, part 249</v>
      </c>
      <c r="F63" t="str">
        <f>REPT( "  ", T_Aop[[#This Row],[Aop nivo]]) &amp; VLOOKUP( T_Aop[[#This Row],[Id]], T_Aop[], ID_Jezik + 6, 1)</f>
        <v xml:space="preserve">      3.1. Cash equivalents</v>
      </c>
      <c r="G63" s="288" t="s">
        <v>853</v>
      </c>
      <c r="H63" s="281" t="s">
        <v>1744</v>
      </c>
      <c r="I63" s="288" t="s">
        <v>1738</v>
      </c>
      <c r="J63" s="370" t="s">
        <v>2817</v>
      </c>
      <c r="K63" s="369" t="s">
        <v>838</v>
      </c>
      <c r="L63" s="268" t="s">
        <v>813</v>
      </c>
      <c r="M63" s="289" t="s">
        <v>995</v>
      </c>
      <c r="N63" s="256" t="s">
        <v>2286</v>
      </c>
      <c r="O63" s="10"/>
      <c r="P63" s="10"/>
    </row>
    <row r="64" spans="1:16" x14ac:dyDescent="0.3">
      <c r="A64">
        <f t="shared" si="0"/>
        <v>63</v>
      </c>
      <c r="B64" t="s">
        <v>771</v>
      </c>
      <c r="C64">
        <v>3</v>
      </c>
      <c r="D64" s="227">
        <v>63</v>
      </c>
      <c r="E64" s="2" t="str">
        <f>VLOOKUP( T_Aop[[#This Row],[Id]], T_Aop[], ID_Jezik +10, 1)</f>
        <v>241 to 249</v>
      </c>
      <c r="F64" t="str">
        <f>REPT( "  ", T_Aop[[#This Row],[Aop nivo]]) &amp; VLOOKUP( T_Aop[[#This Row],[Id]], T_Aop[], ID_Jezik + 6, 1)</f>
        <v xml:space="preserve">      3.2. Cash</v>
      </c>
      <c r="G64" s="288" t="s">
        <v>854</v>
      </c>
      <c r="H64" s="280" t="s">
        <v>1746</v>
      </c>
      <c r="I64" s="288" t="s">
        <v>1739</v>
      </c>
      <c r="J64" s="370" t="s">
        <v>2818</v>
      </c>
      <c r="K64" s="371" t="s">
        <v>89</v>
      </c>
      <c r="L64" s="268" t="s">
        <v>638</v>
      </c>
      <c r="M64" s="289" t="s">
        <v>7</v>
      </c>
      <c r="N64" s="266" t="s">
        <v>638</v>
      </c>
      <c r="O64" s="10"/>
      <c r="P64" s="10"/>
    </row>
    <row r="65" spans="1:16" x14ac:dyDescent="0.3">
      <c r="A65">
        <f t="shared" si="0"/>
        <v>64</v>
      </c>
      <c r="B65" t="s">
        <v>771</v>
      </c>
      <c r="C65">
        <v>2</v>
      </c>
      <c r="D65" s="227">
        <v>64</v>
      </c>
      <c r="E65" s="2" t="str">
        <f>VLOOKUP( T_Aop[[#This Row],[Id]], T_Aop[], ID_Jezik +10, 1)</f>
        <v>270 to 279</v>
      </c>
      <c r="F65" t="str">
        <f>REPT( "  ", T_Aop[[#This Row],[Aop nivo]]) &amp; VLOOKUP( T_Aop[[#This Row],[Id]], T_Aop[], ID_Jezik + 6, 1)</f>
        <v xml:space="preserve">    4. Value added tax</v>
      </c>
      <c r="G65" s="288" t="s">
        <v>92</v>
      </c>
      <c r="H65" s="281" t="s">
        <v>1747</v>
      </c>
      <c r="I65" s="288" t="s">
        <v>1740</v>
      </c>
      <c r="J65" s="370" t="s">
        <v>2016</v>
      </c>
      <c r="K65" s="372" t="s">
        <v>8</v>
      </c>
      <c r="L65" s="268" t="s">
        <v>814</v>
      </c>
      <c r="M65" s="289" t="s">
        <v>9</v>
      </c>
      <c r="N65" s="266" t="s">
        <v>2287</v>
      </c>
      <c r="O65" s="10"/>
      <c r="P65" s="10"/>
    </row>
    <row r="66" spans="1:16" x14ac:dyDescent="0.3">
      <c r="A66">
        <f t="shared" ref="A66:A129" si="1">ROW()-ROW($A$1)</f>
        <v>65</v>
      </c>
      <c r="B66" t="s">
        <v>771</v>
      </c>
      <c r="C66">
        <v>2</v>
      </c>
      <c r="D66" s="227">
        <v>65</v>
      </c>
      <c r="E66" s="2" t="str">
        <f>VLOOKUP( T_Aop[[#This Row],[Id]], T_Aop[], ID_Jezik +10, 1)</f>
        <v>280 to 289</v>
      </c>
      <c r="F66" t="str">
        <f>REPT( "  ", T_Aop[[#This Row],[Aop nivo]]) &amp; VLOOKUP( T_Aop[[#This Row],[Id]], T_Aop[], ID_Jezik + 6, 1)</f>
        <v xml:space="preserve">    5. Short-term accruals</v>
      </c>
      <c r="G66" s="288" t="s">
        <v>855</v>
      </c>
      <c r="H66" s="280" t="s">
        <v>1748</v>
      </c>
      <c r="I66" s="288" t="s">
        <v>1741</v>
      </c>
      <c r="J66" s="370" t="s">
        <v>2017</v>
      </c>
      <c r="K66" s="372" t="s">
        <v>839</v>
      </c>
      <c r="L66" s="268" t="s">
        <v>815</v>
      </c>
      <c r="M66" s="289" t="s">
        <v>996</v>
      </c>
      <c r="N66" s="232" t="s">
        <v>815</v>
      </c>
      <c r="O66" s="10"/>
      <c r="P66" s="10"/>
    </row>
    <row r="67" spans="1:16" ht="14.4" thickBot="1" x14ac:dyDescent="0.35">
      <c r="A67">
        <f t="shared" si="1"/>
        <v>66</v>
      </c>
      <c r="B67" t="s">
        <v>771</v>
      </c>
      <c r="C67">
        <v>1</v>
      </c>
      <c r="D67" s="227">
        <v>66</v>
      </c>
      <c r="E67" s="2">
        <f>VLOOKUP( T_Aop[[#This Row],[Id]], T_Aop[], ID_Jezik +10, 1)</f>
        <v>0</v>
      </c>
      <c r="F67" t="str">
        <f>REPT( "  ", T_Aop[[#This Row],[Aop nivo]]) &amp; VLOOKUP( T_Aop[[#This Row],[Id]], T_Aop[], ID_Jezik + 6, 1)</f>
        <v xml:space="preserve">  G. BALANCE SHEET ASSETS (001 + 035+ 036)</v>
      </c>
      <c r="G67" s="288" t="s">
        <v>856</v>
      </c>
      <c r="H67" s="288" t="s">
        <v>1012</v>
      </c>
      <c r="I67" s="288" t="s">
        <v>1002</v>
      </c>
      <c r="J67" s="370" t="s">
        <v>2018</v>
      </c>
      <c r="K67" s="373">
        <v>0</v>
      </c>
      <c r="L67" s="270"/>
      <c r="M67" s="289"/>
      <c r="N67" s="290"/>
      <c r="O67" s="10">
        <v>1</v>
      </c>
      <c r="P67" s="10"/>
    </row>
    <row r="68" spans="1:16" ht="14.4" thickBot="1" x14ac:dyDescent="0.35">
      <c r="A68">
        <f t="shared" si="1"/>
        <v>67</v>
      </c>
      <c r="B68" t="s">
        <v>771</v>
      </c>
      <c r="C68">
        <v>1</v>
      </c>
      <c r="D68" s="227">
        <v>67</v>
      </c>
      <c r="E68" s="2" t="str">
        <f>VLOOKUP( T_Aop[[#This Row],[Id]], T_Aop[], ID_Jezik +10, 1)</f>
        <v>880 to 888</v>
      </c>
      <c r="F68" s="223" t="str">
        <f>REPT( "  ", T_Aop[[#This Row],[Aop nivo]]) &amp; VLOOKUP( T_Aop[[#This Row],[Id]], T_Aop[], ID_Jezik + 6, 1)</f>
        <v xml:space="preserve">  D. OFF BALANCE SHEET ASSETS</v>
      </c>
      <c r="G68" s="288" t="s">
        <v>857</v>
      </c>
      <c r="H68" s="288" t="s">
        <v>1013</v>
      </c>
      <c r="I68" s="288" t="s">
        <v>1003</v>
      </c>
      <c r="J68" s="370" t="s">
        <v>2019</v>
      </c>
      <c r="K68" s="374" t="s">
        <v>2558</v>
      </c>
      <c r="L68" s="270" t="s">
        <v>639</v>
      </c>
      <c r="M68" s="289" t="s">
        <v>2559</v>
      </c>
      <c r="N68" s="256" t="s">
        <v>639</v>
      </c>
      <c r="O68" s="10">
        <v>1</v>
      </c>
      <c r="P68" s="10"/>
    </row>
    <row r="69" spans="1:16" ht="30" customHeight="1" x14ac:dyDescent="0.3">
      <c r="A69">
        <f t="shared" si="1"/>
        <v>68</v>
      </c>
      <c r="B69" t="s">
        <v>770</v>
      </c>
      <c r="C69">
        <v>1</v>
      </c>
      <c r="D69" s="227">
        <v>101</v>
      </c>
      <c r="E69" s="2">
        <f>VLOOKUP( T_Aop[[#This Row],[Id]], T_Aop[], ID_Jezik +10, 1)</f>
        <v>0</v>
      </c>
      <c r="F69" t="str">
        <f>REPT( "  ", T_Aop[[#This Row],[Aop nivo]]) &amp; VLOOKUP( T_Aop[[#This Row],[Id]], T_Aop[], ID_Jezik + 6, 1)</f>
        <v xml:space="preserve">  EQUITY AND LIABILITIES
A. CAPITAL (102 - 109 + 110 - 111 + 112 + 116 + 117 - 118 + 119 - 123)</v>
      </c>
      <c r="G69" s="280" t="s">
        <v>2202</v>
      </c>
      <c r="H69" s="288" t="s">
        <v>865</v>
      </c>
      <c r="I69" s="287" t="s">
        <v>1122</v>
      </c>
      <c r="J69" s="354" t="s">
        <v>2020</v>
      </c>
      <c r="K69" s="292"/>
      <c r="L69" s="292"/>
      <c r="M69" s="292"/>
      <c r="N69" s="290"/>
      <c r="O69" s="10">
        <v>1</v>
      </c>
      <c r="P69" s="10"/>
    </row>
    <row r="70" spans="1:16" ht="16.5" customHeight="1" x14ac:dyDescent="0.3">
      <c r="A70">
        <f t="shared" si="1"/>
        <v>69</v>
      </c>
      <c r="B70" t="s">
        <v>770</v>
      </c>
      <c r="C70">
        <v>1</v>
      </c>
      <c r="D70" s="227">
        <v>102</v>
      </c>
      <c r="E70" s="2" t="str">
        <f>VLOOKUP( T_Aop[[#This Row],[Id]], T_Aop[], ID_Jezik +10, 1)</f>
        <v>30</v>
      </c>
      <c r="F70" t="str">
        <f>REPT( "  ", T_Aop[[#This Row],[Aop nivo]]) &amp; VLOOKUP( T_Aop[[#This Row],[Id]], T_Aop[], ID_Jezik + 6, 1)</f>
        <v xml:space="preserve">  I SHARE CAPITAL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3">
      <c r="A71">
        <f t="shared" si="1"/>
        <v>70</v>
      </c>
      <c r="B71" t="s">
        <v>770</v>
      </c>
      <c r="C71">
        <v>2</v>
      </c>
      <c r="D71" s="227">
        <v>103</v>
      </c>
      <c r="E71" s="2">
        <f>VLOOKUP( T_Aop[[#This Row],[Id]], T_Aop[], ID_Jezik +10, 1)</f>
        <v>300</v>
      </c>
      <c r="F71" t="str">
        <f>REPT( "  ", T_Aop[[#This Row],[Aop nivo]]) &amp; VLOOKUP( T_Aop[[#This Row],[Id]], T_Aop[], ID_Jezik + 6, 1)</f>
        <v xml:space="preserve">    1. Share capital (104+105)</v>
      </c>
      <c r="G71" s="288" t="s">
        <v>1078</v>
      </c>
      <c r="H71" s="288" t="s">
        <v>866</v>
      </c>
      <c r="I71" s="291" t="s">
        <v>2560</v>
      </c>
      <c r="J71" s="370" t="s">
        <v>2022</v>
      </c>
      <c r="K71" s="376">
        <v>300</v>
      </c>
      <c r="L71" s="275">
        <v>300</v>
      </c>
      <c r="M71" s="293">
        <v>300</v>
      </c>
      <c r="N71" s="256">
        <v>300</v>
      </c>
      <c r="O71" s="10">
        <v>1</v>
      </c>
      <c r="P71" s="10"/>
    </row>
    <row r="72" spans="1:16" ht="12" customHeight="1" x14ac:dyDescent="0.3">
      <c r="A72">
        <f t="shared" si="1"/>
        <v>71</v>
      </c>
      <c r="B72" t="s">
        <v>770</v>
      </c>
      <c r="C72">
        <v>3</v>
      </c>
      <c r="D72" s="227">
        <v>104</v>
      </c>
      <c r="E72" s="2">
        <f>VLOOKUP( T_Aop[[#This Row],[Id]], T_Aop[], ID_Jezik +10, 1)</f>
        <v>0</v>
      </c>
      <c r="F72" t="str">
        <f>REPT( "  ", T_Aop[[#This Row],[Aop nivo]]) &amp; VLOOKUP( T_Aop[[#This Row],[Id]], T_Aop[], ID_Jezik + 6, 1)</f>
        <v xml:space="preserve">      1.1. Share capital - common shares</v>
      </c>
      <c r="G72" s="288" t="s">
        <v>1079</v>
      </c>
      <c r="H72" s="288" t="s">
        <v>867</v>
      </c>
      <c r="I72" s="291" t="s">
        <v>1749</v>
      </c>
      <c r="J72" s="370" t="s">
        <v>2503</v>
      </c>
      <c r="K72" s="376"/>
      <c r="L72" s="275"/>
      <c r="M72" s="293"/>
      <c r="N72" s="256"/>
      <c r="O72" s="10"/>
      <c r="P72" s="10"/>
    </row>
    <row r="73" spans="1:16" ht="14.25" customHeight="1" x14ac:dyDescent="0.3">
      <c r="A73">
        <f t="shared" si="1"/>
        <v>72</v>
      </c>
      <c r="B73" t="s">
        <v>770</v>
      </c>
      <c r="C73">
        <v>3</v>
      </c>
      <c r="D73" s="227">
        <v>105</v>
      </c>
      <c r="E73" s="2">
        <f>VLOOKUP( T_Aop[[#This Row],[Id]], T_Aop[], ID_Jezik +10, 1)</f>
        <v>0</v>
      </c>
      <c r="F73" t="str">
        <f>REPT( "  ", T_Aop[[#This Row],[Aop nivo]]) &amp; VLOOKUP( T_Aop[[#This Row],[Id]], T_Aop[], ID_Jezik + 6, 1)</f>
        <v xml:space="preserve">      1.2. Share capital - preferred shares</v>
      </c>
      <c r="G73" s="288" t="s">
        <v>1080</v>
      </c>
      <c r="H73" s="288" t="s">
        <v>868</v>
      </c>
      <c r="I73" s="291" t="s">
        <v>1750</v>
      </c>
      <c r="J73" s="370" t="s">
        <v>2504</v>
      </c>
      <c r="K73" s="376"/>
      <c r="L73" s="275"/>
      <c r="M73" s="293"/>
      <c r="N73" s="256"/>
      <c r="O73" s="10"/>
      <c r="P73" s="10"/>
    </row>
    <row r="74" spans="1:16" ht="14.25" customHeight="1" x14ac:dyDescent="0.3">
      <c r="A74">
        <f t="shared" si="1"/>
        <v>73</v>
      </c>
      <c r="B74" t="s">
        <v>770</v>
      </c>
      <c r="C74">
        <v>2</v>
      </c>
      <c r="D74" s="227">
        <v>106</v>
      </c>
      <c r="E74" s="2">
        <f>VLOOKUP( T_Aop[[#This Row],[Id]], T_Aop[], ID_Jezik +10, 1)</f>
        <v>302</v>
      </c>
      <c r="F74" t="str">
        <f>REPT( "  ", T_Aop[[#This Row],[Aop nivo]]) &amp; VLOOKUP( T_Aop[[#This Row],[Id]], T_Aop[], ID_Jezik + 6, 1)</f>
        <v xml:space="preserve">    2. Shares in limited liability company</v>
      </c>
      <c r="G74" s="288" t="s">
        <v>101</v>
      </c>
      <c r="H74" s="288" t="s">
        <v>500</v>
      </c>
      <c r="I74" s="291" t="s">
        <v>1751</v>
      </c>
      <c r="J74" s="370" t="s">
        <v>2023</v>
      </c>
      <c r="K74" s="376">
        <v>302</v>
      </c>
      <c r="L74" s="275">
        <v>302</v>
      </c>
      <c r="M74" s="293">
        <v>302</v>
      </c>
      <c r="N74" s="256">
        <v>302</v>
      </c>
      <c r="O74" s="10"/>
      <c r="P74" s="10"/>
    </row>
    <row r="75" spans="1:16" ht="14.25" customHeight="1" x14ac:dyDescent="0.3">
      <c r="A75">
        <f t="shared" si="1"/>
        <v>74</v>
      </c>
      <c r="B75" t="s">
        <v>770</v>
      </c>
      <c r="C75">
        <v>2</v>
      </c>
      <c r="D75" s="227">
        <v>107</v>
      </c>
      <c r="E75" s="2">
        <f>VLOOKUP( T_Aop[[#This Row],[Id]], T_Aop[], ID_Jezik +10, 1)</f>
        <v>304</v>
      </c>
      <c r="F75" t="str">
        <f>REPT( "  ", T_Aop[[#This Row],[Aop nivo]]) &amp; VLOOKUP( T_Aop[[#This Row],[Id]], T_Aop[], ID_Jezik + 6, 1)</f>
        <v xml:space="preserve">    3. Stakes</v>
      </c>
      <c r="G75" s="288" t="s">
        <v>2198</v>
      </c>
      <c r="H75" s="288" t="s">
        <v>2200</v>
      </c>
      <c r="I75" s="291" t="s">
        <v>1752</v>
      </c>
      <c r="J75" s="370" t="s">
        <v>2024</v>
      </c>
      <c r="K75" s="376">
        <v>304</v>
      </c>
      <c r="L75" s="275">
        <v>304</v>
      </c>
      <c r="M75" s="293">
        <v>304</v>
      </c>
      <c r="N75" s="256">
        <v>304</v>
      </c>
      <c r="O75" s="10"/>
      <c r="P75" s="10"/>
    </row>
    <row r="76" spans="1:16" ht="14.25" customHeight="1" x14ac:dyDescent="0.3">
      <c r="A76">
        <f t="shared" si="1"/>
        <v>75</v>
      </c>
      <c r="B76" t="s">
        <v>770</v>
      </c>
      <c r="C76">
        <v>2</v>
      </c>
      <c r="D76" s="227">
        <v>108</v>
      </c>
      <c r="E76" s="2">
        <f>VLOOKUP( T_Aop[[#This Row],[Id]], T_Aop[], ID_Jezik +10, 1)</f>
        <v>305</v>
      </c>
      <c r="F76" t="str">
        <f>REPT( "  ", T_Aop[[#This Row],[Aop nivo]]) &amp; VLOOKUP( T_Aop[[#This Row],[Id]], T_Aop[], ID_Jezik + 6, 1)</f>
        <v xml:space="preserve">    4. State-owned capital</v>
      </c>
      <c r="G76" s="288" t="s">
        <v>2199</v>
      </c>
      <c r="H76" s="288" t="s">
        <v>2201</v>
      </c>
      <c r="I76" s="291" t="s">
        <v>1753</v>
      </c>
      <c r="J76" s="370" t="s">
        <v>2025</v>
      </c>
      <c r="K76" s="376">
        <v>305</v>
      </c>
      <c r="L76" s="275">
        <v>305</v>
      </c>
      <c r="M76" s="293">
        <v>305</v>
      </c>
      <c r="N76" s="256">
        <v>305</v>
      </c>
      <c r="O76" s="10"/>
      <c r="P76" s="10"/>
    </row>
    <row r="77" spans="1:16" ht="14.25" customHeight="1" x14ac:dyDescent="0.3">
      <c r="A77">
        <f t="shared" si="1"/>
        <v>76</v>
      </c>
      <c r="B77" t="s">
        <v>770</v>
      </c>
      <c r="C77">
        <v>2</v>
      </c>
      <c r="D77" s="227">
        <v>109</v>
      </c>
      <c r="E77" s="2" t="str">
        <f>VLOOKUP( T_Aop[[#This Row],[Id]], T_Aop[], ID_Jezik +10, 1)</f>
        <v>309</v>
      </c>
      <c r="F77" t="str">
        <f>REPT( "  ", T_Aop[[#This Row],[Aop nivo]]) &amp; VLOOKUP( T_Aop[[#This Row],[Id]], T_Aop[], ID_Jezik + 6, 1)</f>
        <v xml:space="preserve">    5. Other share capital</v>
      </c>
      <c r="G77" s="288" t="s">
        <v>1081</v>
      </c>
      <c r="H77" s="288" t="s">
        <v>869</v>
      </c>
      <c r="I77" s="291" t="s">
        <v>1754</v>
      </c>
      <c r="J77" s="370" t="s">
        <v>2026</v>
      </c>
      <c r="K77" s="376" t="s">
        <v>756</v>
      </c>
      <c r="L77" s="250" t="s">
        <v>756</v>
      </c>
      <c r="M77" s="250" t="s">
        <v>756</v>
      </c>
      <c r="N77" s="250" t="s">
        <v>756</v>
      </c>
      <c r="O77" s="10"/>
      <c r="P77" s="10"/>
    </row>
    <row r="78" spans="1:16" ht="14.25" customHeight="1" x14ac:dyDescent="0.3">
      <c r="A78">
        <f t="shared" si="1"/>
        <v>77</v>
      </c>
      <c r="B78" t="s">
        <v>770</v>
      </c>
      <c r="C78">
        <v>1</v>
      </c>
      <c r="D78" s="3">
        <v>110</v>
      </c>
      <c r="E78" s="2">
        <f>VLOOKUP( T_Aop[[#This Row],[Id]], T_Aop[], ID_Jezik +10, 1)</f>
        <v>31</v>
      </c>
      <c r="F78" t="str">
        <f>REPT( "  ", T_Aop[[#This Row],[Aop nivo]]) &amp; VLOOKUP( T_Aop[[#This Row],[Id]], T_Aop[], ID_Jezik + 6, 1)</f>
        <v xml:space="preserve">  II OWNED SHARES AND SUBSCRIBED CAPITAL UNPAID (111 + 112)</v>
      </c>
      <c r="G78" s="281" t="s">
        <v>2771</v>
      </c>
      <c r="H78" s="288" t="s">
        <v>2207</v>
      </c>
      <c r="I78" s="291" t="s">
        <v>2561</v>
      </c>
      <c r="J78" s="370" t="s">
        <v>2027</v>
      </c>
      <c r="K78" s="377">
        <v>31</v>
      </c>
      <c r="L78" s="272">
        <v>31</v>
      </c>
      <c r="M78" s="293">
        <v>31</v>
      </c>
      <c r="N78" s="256">
        <v>31</v>
      </c>
      <c r="O78" s="10">
        <v>1</v>
      </c>
      <c r="P78" s="10"/>
    </row>
    <row r="79" spans="1:16" ht="14.25" customHeight="1" x14ac:dyDescent="0.3">
      <c r="A79">
        <f t="shared" si="1"/>
        <v>78</v>
      </c>
      <c r="B79" t="s">
        <v>770</v>
      </c>
      <c r="C79">
        <v>2</v>
      </c>
      <c r="D79" s="3">
        <v>111</v>
      </c>
      <c r="E79" s="2">
        <f>VLOOKUP( T_Aop[[#This Row],[Id]], T_Aop[], ID_Jezik +10, 1)</f>
        <v>310</v>
      </c>
      <c r="F79" t="str">
        <f>REPT( "  ", T_Aop[[#This Row],[Aop nivo]]) &amp; VLOOKUP( T_Aop[[#This Row],[Id]], T_Aop[], ID_Jezik + 6, 1)</f>
        <v xml:space="preserve">    1. Repurchased owned shares</v>
      </c>
      <c r="G79" s="288" t="s">
        <v>1082</v>
      </c>
      <c r="H79" s="288" t="s">
        <v>870</v>
      </c>
      <c r="I79" s="291" t="s">
        <v>1755</v>
      </c>
      <c r="J79" s="370" t="s">
        <v>2028</v>
      </c>
      <c r="K79" s="376">
        <v>310</v>
      </c>
      <c r="L79" s="275">
        <v>310</v>
      </c>
      <c r="M79" s="293">
        <v>310</v>
      </c>
      <c r="N79" s="256">
        <v>310</v>
      </c>
      <c r="O79" s="10">
        <v>1</v>
      </c>
      <c r="P79" s="10"/>
    </row>
    <row r="80" spans="1:16" ht="14.25" customHeight="1" x14ac:dyDescent="0.3">
      <c r="A80">
        <f t="shared" si="1"/>
        <v>79</v>
      </c>
      <c r="B80" t="s">
        <v>770</v>
      </c>
      <c r="C80">
        <v>2</v>
      </c>
      <c r="D80" s="3">
        <v>112</v>
      </c>
      <c r="E80" s="2">
        <f>VLOOKUP( T_Aop[[#This Row],[Id]], T_Aop[], ID_Jezik +10, 1)</f>
        <v>311</v>
      </c>
      <c r="F80" t="str">
        <f>REPT( "  ", T_Aop[[#This Row],[Aop nivo]]) &amp; VLOOKUP( T_Aop[[#This Row],[Id]], T_Aop[], ID_Jezik + 6, 1)</f>
        <v xml:space="preserve">    2. Subscribed capital unpaid</v>
      </c>
      <c r="G80" s="288" t="s">
        <v>1083</v>
      </c>
      <c r="H80" s="288" t="s">
        <v>871</v>
      </c>
      <c r="I80" s="291" t="s">
        <v>1756</v>
      </c>
      <c r="J80" s="370" t="s">
        <v>2029</v>
      </c>
      <c r="K80" s="376">
        <v>311</v>
      </c>
      <c r="L80" s="275">
        <v>311</v>
      </c>
      <c r="M80" s="293">
        <v>311</v>
      </c>
      <c r="N80" s="256">
        <v>311</v>
      </c>
      <c r="O80" s="10">
        <v>1</v>
      </c>
      <c r="P80" s="10"/>
    </row>
    <row r="81" spans="1:16" ht="14.25" customHeight="1" x14ac:dyDescent="0.3">
      <c r="A81">
        <f t="shared" si="1"/>
        <v>80</v>
      </c>
      <c r="B81" t="s">
        <v>770</v>
      </c>
      <c r="C81">
        <v>1</v>
      </c>
      <c r="D81" s="3">
        <v>113</v>
      </c>
      <c r="E81" s="2">
        <f>VLOOKUP( T_Aop[[#This Row],[Id]], T_Aop[], ID_Jezik +10, 1)</f>
        <v>320</v>
      </c>
      <c r="F81" t="str">
        <f>REPT( "  ", T_Aop[[#This Row],[Aop nivo]]) &amp; VLOOKUP( T_Aop[[#This Row],[Id]], T_Aop[], ID_Jezik + 6, 1)</f>
        <v xml:space="preserve">  III  ISSUANCE PREMIUM </v>
      </c>
      <c r="G81" s="281" t="s">
        <v>1084</v>
      </c>
      <c r="H81" s="288" t="s">
        <v>872</v>
      </c>
      <c r="I81" s="291" t="s">
        <v>1757</v>
      </c>
      <c r="J81" s="370" t="s">
        <v>2030</v>
      </c>
      <c r="K81" s="376">
        <v>320</v>
      </c>
      <c r="L81" s="275">
        <v>320</v>
      </c>
      <c r="M81" s="293">
        <v>320</v>
      </c>
      <c r="N81" s="256">
        <v>320</v>
      </c>
      <c r="O81" s="10">
        <v>1</v>
      </c>
      <c r="P81" s="10"/>
    </row>
    <row r="82" spans="1:16" ht="14.25" customHeight="1" x14ac:dyDescent="0.3">
      <c r="A82">
        <f t="shared" si="1"/>
        <v>81</v>
      </c>
      <c r="B82" t="s">
        <v>770</v>
      </c>
      <c r="C82">
        <v>1</v>
      </c>
      <c r="D82" s="3">
        <v>114</v>
      </c>
      <c r="E82" s="2">
        <f>VLOOKUP( T_Aop[[#This Row],[Id]], T_Aop[], ID_Jezik +10, 1)</f>
        <v>321</v>
      </c>
      <c r="F82" t="str">
        <f>REPT( "  ", T_Aop[[#This Row],[Aop nivo]]) &amp; VLOOKUP( T_Aop[[#This Row],[Id]], T_Aop[], ID_Jezik + 6, 1)</f>
        <v xml:space="preserve">  IV  ISSUANCE LOSS</v>
      </c>
      <c r="G82" s="281" t="s">
        <v>2770</v>
      </c>
      <c r="H82" s="288" t="s">
        <v>2714</v>
      </c>
      <c r="I82" s="291" t="s">
        <v>1758</v>
      </c>
      <c r="J82" s="370" t="s">
        <v>2031</v>
      </c>
      <c r="K82" s="376">
        <v>321</v>
      </c>
      <c r="L82" s="275">
        <v>321</v>
      </c>
      <c r="M82" s="293">
        <v>321</v>
      </c>
      <c r="N82" s="256">
        <v>321</v>
      </c>
      <c r="O82" s="10"/>
      <c r="P82" s="10"/>
    </row>
    <row r="83" spans="1:16" ht="14.25" customHeight="1" x14ac:dyDescent="0.3">
      <c r="A83">
        <f t="shared" si="1"/>
        <v>82</v>
      </c>
      <c r="B83" t="s">
        <v>770</v>
      </c>
      <c r="C83">
        <v>1</v>
      </c>
      <c r="D83" s="3">
        <v>115</v>
      </c>
      <c r="E83" s="2" t="str">
        <f>VLOOKUP( T_Aop[[#This Row],[Id]], T_Aop[], ID_Jezik +10, 1)</f>
        <v>part 32</v>
      </c>
      <c r="F83" t="str">
        <f>REPT( "  ", T_Aop[[#This Row],[Aop nivo]]) &amp; VLOOKUP( T_Aop[[#This Row],[Id]], T_Aop[], ID_Jezik + 6, 1)</f>
        <v xml:space="preserve">  V RESERVES (116 to 118)</v>
      </c>
      <c r="G83" s="281" t="s">
        <v>2713</v>
      </c>
      <c r="H83" s="288" t="s">
        <v>2715</v>
      </c>
      <c r="I83" s="291" t="s">
        <v>2716</v>
      </c>
      <c r="J83" s="370" t="s">
        <v>2032</v>
      </c>
      <c r="K83" s="377" t="s">
        <v>97</v>
      </c>
      <c r="L83" s="272" t="s">
        <v>640</v>
      </c>
      <c r="M83" s="293" t="s">
        <v>41</v>
      </c>
      <c r="N83" s="256" t="s">
        <v>2288</v>
      </c>
      <c r="O83" s="10"/>
      <c r="P83" s="10"/>
    </row>
    <row r="84" spans="1:16" ht="14.25" customHeight="1" x14ac:dyDescent="0.3">
      <c r="A84">
        <f t="shared" si="1"/>
        <v>83</v>
      </c>
      <c r="B84" t="s">
        <v>770</v>
      </c>
      <c r="C84">
        <v>2</v>
      </c>
      <c r="D84" s="3">
        <v>116</v>
      </c>
      <c r="E84" s="2">
        <f>VLOOKUP( T_Aop[[#This Row],[Id]], T_Aop[], ID_Jezik +10, 1)</f>
        <v>322</v>
      </c>
      <c r="F84" t="str">
        <f>REPT( "  ", T_Aop[[#This Row],[Aop nivo]]) &amp; VLOOKUP( T_Aop[[#This Row],[Id]], T_Aop[], ID_Jezik + 6, 1)</f>
        <v xml:space="preserve">    1. Legal reserves</v>
      </c>
      <c r="G84" s="288" t="s">
        <v>73</v>
      </c>
      <c r="H84" s="288" t="s">
        <v>501</v>
      </c>
      <c r="I84" s="291" t="s">
        <v>2689</v>
      </c>
      <c r="J84" s="370" t="s">
        <v>2505</v>
      </c>
      <c r="K84" s="376">
        <v>322</v>
      </c>
      <c r="L84" s="275">
        <v>322</v>
      </c>
      <c r="M84" s="293">
        <v>322</v>
      </c>
      <c r="N84" s="256">
        <v>322</v>
      </c>
      <c r="O84" s="10"/>
      <c r="P84" s="10"/>
    </row>
    <row r="85" spans="1:16" ht="14.25" customHeight="1" x14ac:dyDescent="0.3">
      <c r="A85">
        <f t="shared" si="1"/>
        <v>84</v>
      </c>
      <c r="B85" t="s">
        <v>770</v>
      </c>
      <c r="C85">
        <v>2</v>
      </c>
      <c r="D85" s="3">
        <v>117</v>
      </c>
      <c r="E85" s="2">
        <f>VLOOKUP( T_Aop[[#This Row],[Id]], T_Aop[], ID_Jezik +10, 1)</f>
        <v>323</v>
      </c>
      <c r="F85" t="str">
        <f>REPT( "  ", T_Aop[[#This Row],[Aop nivo]]) &amp; VLOOKUP( T_Aop[[#This Row],[Id]], T_Aop[], ID_Jezik + 6, 1)</f>
        <v xml:space="preserve">    2. Statutory reserves</v>
      </c>
      <c r="G85" s="288" t="s">
        <v>93</v>
      </c>
      <c r="H85" s="288" t="s">
        <v>502</v>
      </c>
      <c r="I85" s="291" t="s">
        <v>2691</v>
      </c>
      <c r="J85" s="370" t="s">
        <v>2506</v>
      </c>
      <c r="K85" s="376">
        <v>323</v>
      </c>
      <c r="L85" s="275">
        <v>323</v>
      </c>
      <c r="M85" s="293">
        <v>323</v>
      </c>
      <c r="N85" s="256">
        <v>323</v>
      </c>
      <c r="O85" s="10">
        <v>1</v>
      </c>
      <c r="P85" s="10"/>
    </row>
    <row r="86" spans="1:16" ht="14.25" customHeight="1" x14ac:dyDescent="0.3">
      <c r="A86">
        <f t="shared" si="1"/>
        <v>85</v>
      </c>
      <c r="B86" t="s">
        <v>770</v>
      </c>
      <c r="C86">
        <v>2</v>
      </c>
      <c r="D86" s="3">
        <v>118</v>
      </c>
      <c r="E86" s="2">
        <f>VLOOKUP( T_Aop[[#This Row],[Id]], T_Aop[], ID_Jezik +10, 1)</f>
        <v>329</v>
      </c>
      <c r="F86" t="str">
        <f>REPT( "  ", T_Aop[[#This Row],[Aop nivo]]) &amp; VLOOKUP( T_Aop[[#This Row],[Id]], T_Aop[], ID_Jezik + 6, 1)</f>
        <v xml:space="preserve">    3. Other reserves</v>
      </c>
      <c r="G86" s="288" t="s">
        <v>503</v>
      </c>
      <c r="H86" s="288" t="s">
        <v>504</v>
      </c>
      <c r="I86" s="291" t="s">
        <v>2690</v>
      </c>
      <c r="J86" s="370" t="s">
        <v>2507</v>
      </c>
      <c r="K86" s="376">
        <v>329</v>
      </c>
      <c r="L86" s="275">
        <v>329</v>
      </c>
      <c r="M86" s="293">
        <v>329</v>
      </c>
      <c r="N86" s="256">
        <v>329</v>
      </c>
      <c r="O86" s="10">
        <v>1</v>
      </c>
      <c r="P86" s="10"/>
    </row>
    <row r="87" spans="1:16" ht="14.25" customHeight="1" x14ac:dyDescent="0.3">
      <c r="A87">
        <f t="shared" si="1"/>
        <v>86</v>
      </c>
      <c r="B87" t="s">
        <v>770</v>
      </c>
      <c r="C87">
        <v>1</v>
      </c>
      <c r="D87" s="3">
        <v>119</v>
      </c>
      <c r="E87" s="2" t="str">
        <f>VLOOKUP( T_Aop[[#This Row],[Id]], T_Aop[], ID_Jezik +10, 1)</f>
        <v>part 33</v>
      </c>
      <c r="F87" t="str">
        <f>REPT( "  ", T_Aop[[#This Row],[Aop nivo]]) &amp; VLOOKUP( T_Aop[[#This Row],[Id]], T_Aop[], ID_Jezik + 6, 1)</f>
        <v xml:space="preserve">  VI REVALUATION RESERVES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3">
      <c r="A88">
        <f t="shared" si="1"/>
        <v>87</v>
      </c>
      <c r="B88" t="s">
        <v>770</v>
      </c>
      <c r="C88">
        <v>2</v>
      </c>
      <c r="D88" s="3">
        <v>120</v>
      </c>
      <c r="E88" s="2">
        <f>VLOOKUP( T_Aop[[#This Row],[Id]], T_Aop[], ID_Jezik +10, 1)</f>
        <v>330</v>
      </c>
      <c r="F88" t="str">
        <f>REPT( "  ", T_Aop[[#This Row],[Aop nivo]]) &amp; VLOOKUP( T_Aop[[#This Row],[Id]], T_Aop[], ID_Jezik + 6, 1)</f>
        <v xml:space="preserve">    1. Revaluation reserves for real estates, plant, equipment and intangible assets</v>
      </c>
      <c r="G88" s="288" t="s">
        <v>1086</v>
      </c>
      <c r="H88" s="288" t="s">
        <v>874</v>
      </c>
      <c r="I88" s="291" t="s">
        <v>1759</v>
      </c>
      <c r="J88" s="370" t="s">
        <v>2034</v>
      </c>
      <c r="K88" s="377">
        <v>330</v>
      </c>
      <c r="L88" s="272">
        <v>330</v>
      </c>
      <c r="M88" s="293">
        <v>330</v>
      </c>
      <c r="N88" s="256">
        <v>330</v>
      </c>
      <c r="O88" s="10">
        <v>1</v>
      </c>
      <c r="P88" s="10"/>
    </row>
    <row r="89" spans="1:16" ht="14.25" customHeight="1" x14ac:dyDescent="0.3">
      <c r="A89">
        <f t="shared" si="1"/>
        <v>88</v>
      </c>
      <c r="B89" t="s">
        <v>770</v>
      </c>
      <c r="C89">
        <v>2</v>
      </c>
      <c r="D89" s="3">
        <v>121</v>
      </c>
      <c r="E89" s="2" t="str">
        <f>VLOOKUP( T_Aop[[#This Row],[Id]], T_Aop[], ID_Jezik +10, 1)</f>
        <v>331 and 334</v>
      </c>
      <c r="F89" t="str">
        <f>REPT( "  ", T_Aop[[#This Row],[Aop nivo]]) &amp; VLOOKUP( T_Aop[[#This Row],[Id]], T_Aop[], ID_Jezik + 6, 1)</f>
        <v xml:space="preserve">    2. Other revaluation reserves</v>
      </c>
      <c r="G89" s="288" t="s">
        <v>1087</v>
      </c>
      <c r="H89" s="288" t="s">
        <v>875</v>
      </c>
      <c r="I89" s="291" t="s">
        <v>1760</v>
      </c>
      <c r="J89" s="370" t="s">
        <v>2035</v>
      </c>
      <c r="K89" s="377" t="s">
        <v>1826</v>
      </c>
      <c r="L89" s="272" t="s">
        <v>916</v>
      </c>
      <c r="M89" s="293" t="s">
        <v>1807</v>
      </c>
      <c r="N89" s="256" t="s">
        <v>916</v>
      </c>
      <c r="O89" s="10"/>
      <c r="P89" s="10"/>
    </row>
    <row r="90" spans="1:16" ht="14.25" customHeight="1" x14ac:dyDescent="0.3">
      <c r="A90">
        <f t="shared" si="1"/>
        <v>89</v>
      </c>
      <c r="B90" t="s">
        <v>770</v>
      </c>
      <c r="C90">
        <v>1</v>
      </c>
      <c r="D90" s="3">
        <v>122</v>
      </c>
      <c r="E90" s="2">
        <f>VLOOKUP( T_Aop[[#This Row],[Id]], T_Aop[], ID_Jezik +10, 1)</f>
        <v>332</v>
      </c>
      <c r="F90" t="str">
        <f>REPT( "  ", T_Aop[[#This Row],[Aop nivo]]) &amp; VLOOKUP( T_Aop[[#This Row],[Id]], T_Aop[], ID_Jezik + 6, 1)</f>
        <v xml:space="preserve">  VII POSITIVE EFFECTS OF FINANCIAL ASSETS HELD AT THE FAIR VALUE THROUGH OTHER COMPREHENSIVE INCOME</v>
      </c>
      <c r="G90" s="281" t="s">
        <v>2693</v>
      </c>
      <c r="H90" s="288" t="s">
        <v>2692</v>
      </c>
      <c r="I90" s="291" t="s">
        <v>1761</v>
      </c>
      <c r="J90" s="370" t="s">
        <v>2036</v>
      </c>
      <c r="K90" s="377">
        <v>332</v>
      </c>
      <c r="L90" s="272">
        <v>332</v>
      </c>
      <c r="M90" s="273">
        <v>332</v>
      </c>
      <c r="N90" s="256">
        <v>332</v>
      </c>
      <c r="O90" s="10"/>
      <c r="P90" s="10"/>
    </row>
    <row r="91" spans="1:16" ht="14.25" customHeight="1" x14ac:dyDescent="0.3">
      <c r="A91">
        <f t="shared" si="1"/>
        <v>90</v>
      </c>
      <c r="B91" t="s">
        <v>770</v>
      </c>
      <c r="C91">
        <v>1</v>
      </c>
      <c r="D91" s="3">
        <v>123</v>
      </c>
      <c r="E91" s="2">
        <f>VLOOKUP( T_Aop[[#This Row],[Id]], T_Aop[], ID_Jezik +10, 1)</f>
        <v>333</v>
      </c>
      <c r="F91" t="str">
        <f>REPT( "  ", T_Aop[[#This Row],[Aop nivo]]) &amp; VLOOKUP( T_Aop[[#This Row],[Id]], T_Aop[], ID_Jezik + 6, 1)</f>
        <v xml:space="preserve">  VIII NEGATIVE EFFECTS OF FINANCIAL ASSETS HELD AT THE FAIR VALUE THROUGH OTHER COMPREHENSIVE INCOME</v>
      </c>
      <c r="G91" s="281" t="s">
        <v>1649</v>
      </c>
      <c r="H91" s="288" t="s">
        <v>876</v>
      </c>
      <c r="I91" s="291" t="s">
        <v>1762</v>
      </c>
      <c r="J91" s="370" t="s">
        <v>2037</v>
      </c>
      <c r="K91" s="375">
        <v>333</v>
      </c>
      <c r="L91" s="271">
        <v>333</v>
      </c>
      <c r="M91" s="274">
        <v>333</v>
      </c>
      <c r="N91" s="256">
        <v>333</v>
      </c>
      <c r="O91" s="10"/>
      <c r="P91" s="10"/>
    </row>
    <row r="92" spans="1:16" ht="14.25" customHeight="1" x14ac:dyDescent="0.3">
      <c r="A92">
        <f t="shared" si="1"/>
        <v>91</v>
      </c>
      <c r="B92" t="s">
        <v>770</v>
      </c>
      <c r="C92">
        <v>1</v>
      </c>
      <c r="D92" s="3">
        <v>124</v>
      </c>
      <c r="E92" s="2">
        <f>VLOOKUP( T_Aop[[#This Row],[Id]], T_Aop[], ID_Jezik +10, 1)</f>
        <v>34</v>
      </c>
      <c r="F92" t="str">
        <f>REPT( "  ", T_Aop[[#This Row],[Aop nivo]]) &amp; VLOOKUP( T_Aop[[#This Row],[Id]], T_Aop[], ID_Jezik + 6, 1)</f>
        <v xml:space="preserve">  IX RETAINED EARNINGS (125 to 127)</v>
      </c>
      <c r="G92" s="288" t="s">
        <v>2712</v>
      </c>
      <c r="H92" s="288" t="s">
        <v>2720</v>
      </c>
      <c r="I92" s="291" t="s">
        <v>2717</v>
      </c>
      <c r="J92" s="370" t="s">
        <v>2038</v>
      </c>
      <c r="K92" s="377">
        <v>34</v>
      </c>
      <c r="L92" s="272">
        <v>34</v>
      </c>
      <c r="M92" s="273">
        <v>34</v>
      </c>
      <c r="N92" s="256">
        <v>34</v>
      </c>
      <c r="O92" s="10"/>
      <c r="P92" s="10"/>
    </row>
    <row r="93" spans="1:16" ht="14.25" customHeight="1" x14ac:dyDescent="0.3">
      <c r="A93">
        <f t="shared" si="1"/>
        <v>92</v>
      </c>
      <c r="B93" t="s">
        <v>770</v>
      </c>
      <c r="C93">
        <v>2</v>
      </c>
      <c r="D93" s="3">
        <v>125</v>
      </c>
      <c r="E93" s="2" t="str">
        <f>VLOOKUP( T_Aop[[#This Row],[Id]], T_Aop[], ID_Jezik +10, 1)</f>
        <v>340 or 342</v>
      </c>
      <c r="F93" t="str">
        <f>REPT( "  ", T_Aop[[#This Row],[Aop nivo]]) &amp; VLOOKUP( T_Aop[[#This Row],[Id]], T_Aop[], ID_Jezik + 6, 1)</f>
        <v xml:space="preserve">    1. Profit from previous years</v>
      </c>
      <c r="G93" s="288" t="s">
        <v>1088</v>
      </c>
      <c r="H93" s="288" t="s">
        <v>877</v>
      </c>
      <c r="I93" s="291" t="s">
        <v>1763</v>
      </c>
      <c r="J93" s="370" t="s">
        <v>2039</v>
      </c>
      <c r="K93" s="376" t="s">
        <v>728</v>
      </c>
      <c r="L93" s="275" t="s">
        <v>1818</v>
      </c>
      <c r="M93" s="293" t="s">
        <v>729</v>
      </c>
      <c r="N93" s="256" t="s">
        <v>1818</v>
      </c>
      <c r="O93" s="10"/>
      <c r="P93" s="10"/>
    </row>
    <row r="94" spans="1:16" ht="14.25" customHeight="1" x14ac:dyDescent="0.3">
      <c r="A94">
        <f t="shared" si="1"/>
        <v>93</v>
      </c>
      <c r="B94" t="s">
        <v>770</v>
      </c>
      <c r="C94">
        <v>2</v>
      </c>
      <c r="D94" s="3">
        <v>126</v>
      </c>
      <c r="E94" s="2" t="str">
        <f>VLOOKUP( T_Aop[[#This Row],[Id]], T_Aop[], ID_Jezik +10, 1)</f>
        <v>341 or 343</v>
      </c>
      <c r="F94" t="str">
        <f>REPT( "  ", T_Aop[[#This Row],[Aop nivo]]) &amp; VLOOKUP( T_Aop[[#This Row],[Id]], T_Aop[], ID_Jezik + 6, 1)</f>
        <v xml:space="preserve">    2.  Profit for the financial year</v>
      </c>
      <c r="G94" s="288" t="s">
        <v>2734</v>
      </c>
      <c r="H94" s="288" t="s">
        <v>2735</v>
      </c>
      <c r="I94" s="291" t="s">
        <v>1764</v>
      </c>
      <c r="J94" s="370" t="s">
        <v>2508</v>
      </c>
      <c r="K94" s="376" t="s">
        <v>730</v>
      </c>
      <c r="L94" s="275" t="s">
        <v>1819</v>
      </c>
      <c r="M94" s="293" t="s">
        <v>731</v>
      </c>
      <c r="N94" s="256" t="s">
        <v>1819</v>
      </c>
      <c r="O94" s="10"/>
      <c r="P94" s="10"/>
    </row>
    <row r="95" spans="1:16" ht="14.25" customHeight="1" x14ac:dyDescent="0.3">
      <c r="A95">
        <f t="shared" si="1"/>
        <v>94</v>
      </c>
      <c r="B95" t="s">
        <v>770</v>
      </c>
      <c r="C95">
        <v>2</v>
      </c>
      <c r="D95" s="3">
        <v>127</v>
      </c>
      <c r="E95" s="2">
        <f>VLOOKUP( T_Aop[[#This Row],[Id]], T_Aop[], ID_Jezik +10, 1)</f>
        <v>344</v>
      </c>
      <c r="F95" t="str">
        <f>REPT( "  ", T_Aop[[#This Row],[Aop nivo]]) &amp; VLOOKUP( T_Aop[[#This Row],[Id]], T_Aop[], ID_Jezik + 6, 1)</f>
        <v xml:space="preserve">    3.  Net income of enterpreneurs</v>
      </c>
      <c r="G95" s="288" t="s">
        <v>726</v>
      </c>
      <c r="H95" s="288" t="s">
        <v>727</v>
      </c>
      <c r="I95" s="291" t="s">
        <v>1765</v>
      </c>
      <c r="J95" s="370" t="s">
        <v>2040</v>
      </c>
      <c r="K95" s="376">
        <v>344</v>
      </c>
      <c r="L95" s="275">
        <v>344</v>
      </c>
      <c r="M95" s="293">
        <v>344</v>
      </c>
      <c r="N95" s="256">
        <v>344</v>
      </c>
      <c r="O95" s="10">
        <v>1</v>
      </c>
      <c r="P95" s="10"/>
    </row>
    <row r="96" spans="1:16" ht="14.25" customHeight="1" x14ac:dyDescent="0.3">
      <c r="A96">
        <f t="shared" si="1"/>
        <v>95</v>
      </c>
      <c r="B96" t="s">
        <v>770</v>
      </c>
      <c r="C96">
        <v>1</v>
      </c>
      <c r="D96" s="3">
        <v>128</v>
      </c>
      <c r="E96" s="2" t="str">
        <f>VLOOKUP( T_Aop[[#This Row],[Id]], T_Aop[], ID_Jezik +10, 1)</f>
        <v>35</v>
      </c>
      <c r="F96" t="str">
        <f>REPT( "  ", T_Aop[[#This Row],[Aop nivo]]) &amp; VLOOKUP( T_Aop[[#This Row],[Id]], T_Aop[], ID_Jezik + 6, 1)</f>
        <v xml:space="preserve">  X LOSS (129 + 130)</v>
      </c>
      <c r="G96" s="288" t="s">
        <v>2723</v>
      </c>
      <c r="H96" s="288" t="s">
        <v>2721</v>
      </c>
      <c r="I96" s="291" t="s">
        <v>2722</v>
      </c>
      <c r="J96" s="370" t="s">
        <v>2041</v>
      </c>
      <c r="K96" s="377" t="s">
        <v>757</v>
      </c>
      <c r="L96" s="272" t="s">
        <v>757</v>
      </c>
      <c r="M96" s="293" t="s">
        <v>757</v>
      </c>
      <c r="N96" s="256">
        <v>35</v>
      </c>
      <c r="O96" s="10"/>
      <c r="P96" s="10"/>
    </row>
    <row r="97" spans="1:16" ht="14.25" customHeight="1" x14ac:dyDescent="0.3">
      <c r="A97">
        <f t="shared" si="1"/>
        <v>96</v>
      </c>
      <c r="B97" t="s">
        <v>770</v>
      </c>
      <c r="C97">
        <v>2</v>
      </c>
      <c r="D97" s="3">
        <v>129</v>
      </c>
      <c r="E97" s="2" t="str">
        <f>VLOOKUP( T_Aop[[#This Row],[Id]], T_Aop[], ID_Jezik +10, 1)</f>
        <v>350 or 352</v>
      </c>
      <c r="F97" t="str">
        <f>REPT( "  ", T_Aop[[#This Row],[Aop nivo]]) &amp; VLOOKUP( T_Aop[[#This Row],[Id]], T_Aop[], ID_Jezik + 6, 1)</f>
        <v xml:space="preserve">    1. Loss of previous year</v>
      </c>
      <c r="G97" s="288" t="s">
        <v>1089</v>
      </c>
      <c r="H97" s="288" t="s">
        <v>878</v>
      </c>
      <c r="I97" s="291" t="s">
        <v>1766</v>
      </c>
      <c r="J97" s="370" t="s">
        <v>2042</v>
      </c>
      <c r="K97" s="376" t="s">
        <v>1827</v>
      </c>
      <c r="L97" s="275" t="s">
        <v>917</v>
      </c>
      <c r="M97" s="293" t="s">
        <v>1808</v>
      </c>
      <c r="N97" s="256" t="s">
        <v>917</v>
      </c>
      <c r="O97" s="10"/>
      <c r="P97" s="10"/>
    </row>
    <row r="98" spans="1:16" ht="14.25" customHeight="1" x14ac:dyDescent="0.3">
      <c r="A98">
        <f t="shared" si="1"/>
        <v>97</v>
      </c>
      <c r="B98" t="s">
        <v>770</v>
      </c>
      <c r="C98">
        <v>2</v>
      </c>
      <c r="D98" s="3">
        <v>130</v>
      </c>
      <c r="E98" s="2" t="str">
        <f>VLOOKUP( T_Aop[[#This Row],[Id]], T_Aop[], ID_Jezik +10, 1)</f>
        <v>351 or 353</v>
      </c>
      <c r="F98" t="str">
        <f>REPT( "  ", T_Aop[[#This Row],[Aop nivo]]) &amp; VLOOKUP( T_Aop[[#This Row],[Id]], T_Aop[], ID_Jezik + 6, 1)</f>
        <v xml:space="preserve">    1. Loss of current year</v>
      </c>
      <c r="G98" s="288" t="s">
        <v>1090</v>
      </c>
      <c r="H98" s="288" t="s">
        <v>879</v>
      </c>
      <c r="I98" s="291" t="s">
        <v>1767</v>
      </c>
      <c r="J98" s="370" t="s">
        <v>2043</v>
      </c>
      <c r="K98" s="376" t="s">
        <v>1828</v>
      </c>
      <c r="L98" s="275" t="s">
        <v>918</v>
      </c>
      <c r="M98" s="293" t="s">
        <v>1809</v>
      </c>
      <c r="N98" s="256" t="s">
        <v>918</v>
      </c>
      <c r="O98" s="10"/>
      <c r="P98" s="10"/>
    </row>
    <row r="99" spans="1:16" ht="14.25" customHeight="1" x14ac:dyDescent="0.3">
      <c r="A99">
        <f t="shared" si="1"/>
        <v>98</v>
      </c>
      <c r="B99" t="s">
        <v>770</v>
      </c>
      <c r="C99">
        <v>1</v>
      </c>
      <c r="D99" s="3">
        <v>131</v>
      </c>
      <c r="E99" s="2" t="str">
        <f>VLOOKUP( T_Aop[[#This Row],[Id]], T_Aop[], ID_Jezik +10, 1)</f>
        <v xml:space="preserve"> </v>
      </c>
      <c r="F99" t="str">
        <f>REPT( "  ", T_Aop[[#This Row],[Aop nivo]]) &amp; VLOOKUP( T_Aop[[#This Row],[Id]], T_Aop[], ID_Jezik + 6, 1)</f>
        <v xml:space="preserve">  XI STAKES WITHOUT THE CONTROL RIGHT</v>
      </c>
      <c r="G99" s="281" t="s">
        <v>1091</v>
      </c>
      <c r="H99" s="288" t="s">
        <v>880</v>
      </c>
      <c r="I99" s="291" t="s">
        <v>1768</v>
      </c>
      <c r="J99" s="370" t="s">
        <v>2044</v>
      </c>
      <c r="K99" s="377" t="s">
        <v>786</v>
      </c>
      <c r="L99" s="272" t="s">
        <v>786</v>
      </c>
      <c r="M99" s="293" t="s">
        <v>786</v>
      </c>
      <c r="N99" s="256"/>
      <c r="O99" s="10"/>
      <c r="P99" s="10"/>
    </row>
    <row r="100" spans="1:16" ht="14.25" customHeight="1" x14ac:dyDescent="0.3">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LONG-TERM PROVISIONS AND LIABILITIES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3">
      <c r="A101">
        <f t="shared" si="1"/>
        <v>100</v>
      </c>
      <c r="B101" t="s">
        <v>770</v>
      </c>
      <c r="C101">
        <v>1</v>
      </c>
      <c r="D101" s="3">
        <v>133</v>
      </c>
      <c r="E101" s="2" t="str">
        <f>VLOOKUP( T_Aop[[#This Row],[Id]], T_Aop[], ID_Jezik +10, 1)</f>
        <v>part 40</v>
      </c>
      <c r="F101" t="str">
        <f>REPT( "  ", T_Aop[[#This Row],[Aop nivo]]) &amp; VLOOKUP( T_Aop[[#This Row],[Id]], T_Aop[], ID_Jezik + 6, 1)</f>
        <v xml:space="preserve">  I LONG-TERM PROVISIONS (134 to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3">
      <c r="A102">
        <f t="shared" si="1"/>
        <v>101</v>
      </c>
      <c r="B102" t="s">
        <v>770</v>
      </c>
      <c r="C102">
        <v>2</v>
      </c>
      <c r="D102" s="3">
        <v>134</v>
      </c>
      <c r="E102" s="2">
        <f>VLOOKUP( T_Aop[[#This Row],[Id]], T_Aop[], ID_Jezik +10, 1)</f>
        <v>400</v>
      </c>
      <c r="F102" t="str">
        <f>REPT( "  ", T_Aop[[#This Row],[Aop nivo]]) &amp; VLOOKUP( T_Aop[[#This Row],[Id]], T_Aop[], ID_Jezik + 6, 1)</f>
        <v xml:space="preserve">    1. For expenses in warranty period</v>
      </c>
      <c r="G102" s="288" t="s">
        <v>94</v>
      </c>
      <c r="H102" s="288" t="s">
        <v>505</v>
      </c>
      <c r="I102" s="291" t="s">
        <v>1771</v>
      </c>
      <c r="J102" s="370" t="s">
        <v>2046</v>
      </c>
      <c r="K102" s="376">
        <v>400</v>
      </c>
      <c r="L102" s="275">
        <v>400</v>
      </c>
      <c r="M102" s="293">
        <v>400</v>
      </c>
      <c r="N102" s="256">
        <v>400</v>
      </c>
      <c r="O102" s="10"/>
      <c r="P102" s="10"/>
    </row>
    <row r="103" spans="1:16" ht="14.25" customHeight="1" x14ac:dyDescent="0.3">
      <c r="A103">
        <f t="shared" si="1"/>
        <v>102</v>
      </c>
      <c r="B103" t="s">
        <v>770</v>
      </c>
      <c r="C103">
        <v>2</v>
      </c>
      <c r="D103" s="3">
        <v>135</v>
      </c>
      <c r="E103" s="2">
        <f>VLOOKUP( T_Aop[[#This Row],[Id]], T_Aop[], ID_Jezik +10, 1)</f>
        <v>404</v>
      </c>
      <c r="F103" t="str">
        <f>REPT( "  ", T_Aop[[#This Row],[Aop nivo]]) &amp; VLOOKUP( T_Aop[[#This Row],[Id]], T_Aop[], ID_Jezik + 6, 1)</f>
        <v xml:space="preserve">    2. For employees wages and benefits</v>
      </c>
      <c r="G103" s="288" t="s">
        <v>1092</v>
      </c>
      <c r="H103" s="288" t="s">
        <v>883</v>
      </c>
      <c r="I103" s="291" t="s">
        <v>1772</v>
      </c>
      <c r="J103" s="370" t="s">
        <v>2047</v>
      </c>
      <c r="K103" s="376">
        <v>404</v>
      </c>
      <c r="L103" s="275">
        <v>404</v>
      </c>
      <c r="M103" s="293">
        <v>404</v>
      </c>
      <c r="N103" s="256">
        <v>404</v>
      </c>
      <c r="O103" s="10"/>
      <c r="P103" s="10"/>
    </row>
    <row r="104" spans="1:16" ht="14.25" customHeight="1" x14ac:dyDescent="0.3">
      <c r="A104">
        <f t="shared" si="1"/>
        <v>103</v>
      </c>
      <c r="B104" t="s">
        <v>770</v>
      </c>
      <c r="C104">
        <v>2</v>
      </c>
      <c r="D104" s="3">
        <v>136</v>
      </c>
      <c r="E104" s="2" t="str">
        <f>VLOOKUP( T_Aop[[#This Row],[Id]], T_Aop[], ID_Jezik +10, 1)</f>
        <v>401, 402, 403, part 409</v>
      </c>
      <c r="F104" t="str">
        <f>REPT( "  ", T_Aop[[#This Row],[Aop nivo]]) &amp; VLOOKUP( T_Aop[[#This Row],[Id]], T_Aop[], ID_Jezik + 6, 1)</f>
        <v xml:space="preserve">    3. Other long-term provisions</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3">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LONG-TERM LIABILITIES (138 to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3">
      <c r="A106">
        <f t="shared" si="1"/>
        <v>105</v>
      </c>
      <c r="B106" t="s">
        <v>770</v>
      </c>
      <c r="C106">
        <v>2</v>
      </c>
      <c r="D106" s="3">
        <v>138</v>
      </c>
      <c r="E106" s="2">
        <f>VLOOKUP( T_Aop[[#This Row],[Id]], T_Aop[], ID_Jezik +10, 1)</f>
        <v>411</v>
      </c>
      <c r="F106" t="str">
        <f>REPT( "  ", T_Aop[[#This Row],[Aop nivo]]) &amp; VLOOKUP( T_Aop[[#This Row],[Id]], T_Aop[], ID_Jezik + 6, 1)</f>
        <v xml:space="preserve">    1. Liabilities toward related legal entities</v>
      </c>
      <c r="G106" s="288" t="s">
        <v>1095</v>
      </c>
      <c r="H106" s="288" t="s">
        <v>886</v>
      </c>
      <c r="I106" s="291" t="s">
        <v>1775</v>
      </c>
      <c r="J106" s="370" t="s">
        <v>2830</v>
      </c>
      <c r="K106" s="376">
        <v>411</v>
      </c>
      <c r="L106" s="275">
        <v>411</v>
      </c>
      <c r="M106" s="293">
        <v>411</v>
      </c>
      <c r="N106" s="256">
        <v>411</v>
      </c>
      <c r="O106" s="10"/>
      <c r="P106" s="10"/>
    </row>
    <row r="107" spans="1:16" ht="14.25" customHeight="1" x14ac:dyDescent="0.3">
      <c r="A107">
        <f t="shared" si="1"/>
        <v>106</v>
      </c>
      <c r="B107" t="s">
        <v>770</v>
      </c>
      <c r="C107">
        <v>2</v>
      </c>
      <c r="D107" s="3">
        <v>139</v>
      </c>
      <c r="E107" s="2">
        <f>VLOOKUP( T_Aop[[#This Row],[Id]], T_Aop[], ID_Jezik +10, 1)</f>
        <v>413</v>
      </c>
      <c r="F107" t="str">
        <f>REPT( "  ", T_Aop[[#This Row],[Aop nivo]]) &amp; VLOOKUP( T_Aop[[#This Row],[Id]], T_Aop[], ID_Jezik + 6, 1)</f>
        <v xml:space="preserve">    2. Domestic long-term debt (borrowings)</v>
      </c>
      <c r="G107" s="288" t="s">
        <v>1096</v>
      </c>
      <c r="H107" s="288" t="s">
        <v>887</v>
      </c>
      <c r="I107" s="291" t="s">
        <v>1776</v>
      </c>
      <c r="J107" s="370" t="s">
        <v>2831</v>
      </c>
      <c r="K107" s="376">
        <v>413</v>
      </c>
      <c r="L107" s="275">
        <v>413</v>
      </c>
      <c r="M107" s="293">
        <v>413</v>
      </c>
      <c r="N107" s="256">
        <v>413</v>
      </c>
      <c r="O107" s="10"/>
      <c r="P107" s="10"/>
    </row>
    <row r="108" spans="1:16" ht="14.25" customHeight="1" x14ac:dyDescent="0.3">
      <c r="A108">
        <f t="shared" si="1"/>
        <v>107</v>
      </c>
      <c r="B108" t="s">
        <v>770</v>
      </c>
      <c r="C108">
        <v>2</v>
      </c>
      <c r="D108" s="3">
        <v>140</v>
      </c>
      <c r="E108" s="2">
        <f>VLOOKUP( T_Aop[[#This Row],[Id]], T_Aop[], ID_Jezik +10, 1)</f>
        <v>414</v>
      </c>
      <c r="F108" t="str">
        <f>REPT( "  ", T_Aop[[#This Row],[Aop nivo]]) &amp; VLOOKUP( T_Aop[[#This Row],[Id]], T_Aop[], ID_Jezik + 6, 1)</f>
        <v xml:space="preserve">    3. Long-term debt (borrowings) abroad</v>
      </c>
      <c r="G108" s="288" t="s">
        <v>1097</v>
      </c>
      <c r="H108" s="288" t="s">
        <v>888</v>
      </c>
      <c r="I108" s="291" t="s">
        <v>1777</v>
      </c>
      <c r="J108" s="370" t="s">
        <v>2832</v>
      </c>
      <c r="K108" s="376">
        <v>414</v>
      </c>
      <c r="L108" s="275">
        <v>414</v>
      </c>
      <c r="M108" s="293">
        <v>414</v>
      </c>
      <c r="N108" s="256">
        <v>414</v>
      </c>
      <c r="O108" s="10"/>
      <c r="P108" s="10"/>
    </row>
    <row r="109" spans="1:16" ht="14.25" customHeight="1" x14ac:dyDescent="0.3">
      <c r="A109">
        <f t="shared" si="1"/>
        <v>108</v>
      </c>
      <c r="B109" t="s">
        <v>770</v>
      </c>
      <c r="C109">
        <v>2</v>
      </c>
      <c r="D109" s="3">
        <v>141</v>
      </c>
      <c r="E109" s="2">
        <f>VLOOKUP( T_Aop[[#This Row],[Id]], T_Aop[], ID_Jezik +10, 1)</f>
        <v>412</v>
      </c>
      <c r="F109" t="str">
        <f>REPT( "  ", T_Aop[[#This Row],[Aop nivo]]) &amp; VLOOKUP( T_Aop[[#This Row],[Id]], T_Aop[], ID_Jezik + 6, 1)</f>
        <v xml:space="preserve">    4. Long- term securities payable</v>
      </c>
      <c r="G109" s="288" t="s">
        <v>1098</v>
      </c>
      <c r="H109" s="288" t="s">
        <v>889</v>
      </c>
      <c r="I109" s="291" t="s">
        <v>1778</v>
      </c>
      <c r="J109" s="370" t="s">
        <v>2833</v>
      </c>
      <c r="K109" s="376">
        <v>412</v>
      </c>
      <c r="L109" s="275">
        <v>412</v>
      </c>
      <c r="M109" s="293">
        <v>412</v>
      </c>
      <c r="N109" s="256">
        <v>412</v>
      </c>
      <c r="O109" s="10"/>
      <c r="P109" s="10"/>
    </row>
    <row r="110" spans="1:16" ht="14.25" customHeight="1" x14ac:dyDescent="0.3">
      <c r="A110">
        <f t="shared" si="1"/>
        <v>109</v>
      </c>
      <c r="B110" t="s">
        <v>770</v>
      </c>
      <c r="C110">
        <v>2</v>
      </c>
      <c r="D110">
        <v>142</v>
      </c>
      <c r="E110" s="2" t="str">
        <f>VLOOKUP( T_Aop[[#This Row],[Id]], T_Aop[], ID_Jezik +10, 1)</f>
        <v>415, 416</v>
      </c>
      <c r="F110" t="str">
        <f>REPT( "  ", T_Aop[[#This Row],[Aop nivo]]) &amp; VLOOKUP( T_Aop[[#This Row],[Id]], T_Aop[], ID_Jezik + 6, 1)</f>
        <v xml:space="preserve">    5. Long-term liabilities from financial leasing</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3">
      <c r="A111">
        <f t="shared" si="1"/>
        <v>110</v>
      </c>
      <c r="B111" t="s">
        <v>770</v>
      </c>
      <c r="C111">
        <v>2</v>
      </c>
      <c r="D111" s="3">
        <v>143</v>
      </c>
      <c r="E111" s="2">
        <f>VLOOKUP( T_Aop[[#This Row],[Id]], T_Aop[], ID_Jezik +10, 1)</f>
        <v>418</v>
      </c>
      <c r="F111" t="str">
        <f>REPT( "  ", T_Aop[[#This Row],[Aop nivo]]) &amp; VLOOKUP( T_Aop[[#This Row],[Id]], T_Aop[], ID_Jezik + 6, 1)</f>
        <v xml:space="preserve">    6. Other long-term liabilities at amortised value</v>
      </c>
      <c r="G111" s="288" t="s">
        <v>1100</v>
      </c>
      <c r="H111" s="288" t="s">
        <v>891</v>
      </c>
      <c r="I111" s="291" t="s">
        <v>1780</v>
      </c>
      <c r="J111" s="370" t="s">
        <v>2835</v>
      </c>
      <c r="K111" s="376" t="s">
        <v>1829</v>
      </c>
      <c r="L111" s="275">
        <v>418</v>
      </c>
      <c r="M111" s="293">
        <v>418</v>
      </c>
      <c r="N111" s="256">
        <v>418</v>
      </c>
      <c r="O111" s="10"/>
      <c r="P111" s="10"/>
    </row>
    <row r="112" spans="1:16" ht="14.25" customHeight="1" x14ac:dyDescent="0.3">
      <c r="A112">
        <f t="shared" si="1"/>
        <v>111</v>
      </c>
      <c r="B112" t="s">
        <v>770</v>
      </c>
      <c r="C112">
        <v>2</v>
      </c>
      <c r="D112" s="3">
        <v>144</v>
      </c>
      <c r="E112" s="2" t="str">
        <f>VLOOKUP( T_Aop[[#This Row],[Id]], T_Aop[], ID_Jezik +10, 1)</f>
        <v>part 409, 410, 419</v>
      </c>
      <c r="F112" t="str">
        <f>REPT( "  ", T_Aop[[#This Row],[Aop nivo]]) &amp; VLOOKUP( T_Aop[[#This Row],[Id]], T_Aop[], ID_Jezik + 6, 1)</f>
        <v xml:space="preserve">    7. Other long-term liabilities, including accruals</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3">
      <c r="A113">
        <f t="shared" si="1"/>
        <v>112</v>
      </c>
      <c r="B113" t="s">
        <v>770</v>
      </c>
      <c r="C113">
        <v>1</v>
      </c>
      <c r="D113" s="3">
        <v>145</v>
      </c>
      <c r="E113" s="2">
        <f>VLOOKUP( T_Aop[[#This Row],[Id]], T_Aop[], ID_Jezik +10, 1)</f>
        <v>408</v>
      </c>
      <c r="F113" t="str">
        <f>REPT( "  ", T_Aop[[#This Row],[Aop nivo]]) &amp; VLOOKUP( T_Aop[[#This Row],[Id]], T_Aop[], ID_Jezik + 6, 1)</f>
        <v xml:space="preserve">  III ACCURED REVENUES AND RECEIVED DONATIONS</v>
      </c>
      <c r="G113" s="281" t="s">
        <v>1648</v>
      </c>
      <c r="H113" s="288" t="s">
        <v>893</v>
      </c>
      <c r="I113" s="291" t="s">
        <v>1781</v>
      </c>
      <c r="J113" s="370" t="s">
        <v>2049</v>
      </c>
      <c r="K113" s="377">
        <v>408</v>
      </c>
      <c r="L113" s="272">
        <v>408</v>
      </c>
      <c r="M113" s="293">
        <v>408</v>
      </c>
      <c r="N113" s="256">
        <v>408</v>
      </c>
      <c r="O113" s="10">
        <v>1</v>
      </c>
      <c r="P113" s="10"/>
    </row>
    <row r="114" spans="1:16" ht="14.25" customHeight="1" x14ac:dyDescent="0.3">
      <c r="A114">
        <f t="shared" si="1"/>
        <v>113</v>
      </c>
      <c r="B114" t="s">
        <v>770</v>
      </c>
      <c r="C114">
        <v>1</v>
      </c>
      <c r="D114" s="3">
        <v>146</v>
      </c>
      <c r="E114" s="2">
        <f>VLOOKUP( T_Aop[[#This Row],[Id]], T_Aop[], ID_Jezik +10, 1)</f>
        <v>407</v>
      </c>
      <c r="F114" t="str">
        <f>REPT( "  ", T_Aop[[#This Row],[Aop nivo]]) &amp; VLOOKUP( T_Aop[[#This Row],[Id]], T_Aop[], ID_Jezik + 6, 1)</f>
        <v xml:space="preserve">  C. DEFERRED TAX LIABILITIES</v>
      </c>
      <c r="G114" s="281" t="s">
        <v>1102</v>
      </c>
      <c r="H114" s="288" t="s">
        <v>894</v>
      </c>
      <c r="I114" s="291" t="s">
        <v>1782</v>
      </c>
      <c r="J114" s="370" t="s">
        <v>2050</v>
      </c>
      <c r="K114" s="378">
        <v>407</v>
      </c>
      <c r="L114" s="276">
        <v>407</v>
      </c>
      <c r="M114" s="294">
        <v>407</v>
      </c>
      <c r="N114" s="293">
        <v>407</v>
      </c>
      <c r="O114" s="10"/>
      <c r="P114" s="10"/>
    </row>
    <row r="115" spans="1:16" ht="14.25" customHeight="1" x14ac:dyDescent="0.3">
      <c r="A115">
        <f t="shared" si="1"/>
        <v>114</v>
      </c>
      <c r="B115" t="s">
        <v>770</v>
      </c>
      <c r="C115">
        <v>1</v>
      </c>
      <c r="D115" s="3">
        <v>147</v>
      </c>
      <c r="E115" s="2" t="str">
        <f>VLOOKUP( T_Aop[[#This Row],[Id]], T_Aop[], ID_Jezik +10, 1)</f>
        <v>42 to 49</v>
      </c>
      <c r="F115" t="str">
        <f>REPT( "  ", T_Aop[[#This Row],[Aop nivo]]) &amp; VLOOKUP( T_Aop[[#This Row],[Id]], T_Aop[], ID_Jezik + 6, 1)</f>
        <v xml:space="preserve">  II - SHORT-TERM LIABILITIES AND PROVISIONS (148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3">
      <c r="A116">
        <f t="shared" si="1"/>
        <v>115</v>
      </c>
      <c r="B116" t="s">
        <v>770</v>
      </c>
      <c r="C116">
        <v>2</v>
      </c>
      <c r="D116" s="3">
        <v>148</v>
      </c>
      <c r="E116" s="2">
        <f>VLOOKUP( T_Aop[[#This Row],[Id]], T_Aop[], ID_Jezik +10, 1)</f>
        <v>42</v>
      </c>
      <c r="F116" t="str">
        <f>REPT( "  ", T_Aop[[#This Row],[Aop nivo]]) &amp; VLOOKUP( T_Aop[[#This Row],[Id]], T_Aop[], ID_Jezik + 6, 1)</f>
        <v xml:space="preserve">    1. Short-term financial liabilities (149 to 154)</v>
      </c>
      <c r="G116" s="288" t="s">
        <v>1103</v>
      </c>
      <c r="H116" s="288" t="s">
        <v>896</v>
      </c>
      <c r="I116" s="291" t="s">
        <v>1784</v>
      </c>
      <c r="J116" s="370" t="s">
        <v>2052</v>
      </c>
      <c r="K116" s="376">
        <v>42</v>
      </c>
      <c r="L116" s="275">
        <v>42</v>
      </c>
      <c r="M116" s="293">
        <v>42</v>
      </c>
      <c r="N116" s="293">
        <v>42</v>
      </c>
      <c r="O116" s="10"/>
      <c r="P116" s="10"/>
    </row>
    <row r="117" spans="1:16" ht="14.25" customHeight="1" x14ac:dyDescent="0.3">
      <c r="A117">
        <f t="shared" si="1"/>
        <v>116</v>
      </c>
      <c r="B117" t="s">
        <v>770</v>
      </c>
      <c r="C117">
        <v>3</v>
      </c>
      <c r="D117" s="3">
        <v>149</v>
      </c>
      <c r="E117" s="2">
        <f>VLOOKUP( T_Aop[[#This Row],[Id]], T_Aop[], ID_Jezik +10, 1)</f>
        <v>420</v>
      </c>
      <c r="F117" t="str">
        <f>REPT( "  ", T_Aop[[#This Row],[Aop nivo]]) &amp; VLOOKUP( T_Aop[[#This Row],[Id]], T_Aop[], ID_Jezik + 6, 1)</f>
        <v xml:space="preserve">      1.1. Short-term liabilities toward related legal entities</v>
      </c>
      <c r="G117" s="288" t="s">
        <v>1104</v>
      </c>
      <c r="H117" s="288" t="s">
        <v>897</v>
      </c>
      <c r="I117" s="291" t="s">
        <v>1785</v>
      </c>
      <c r="J117" s="370" t="s">
        <v>2823</v>
      </c>
      <c r="K117" s="376">
        <v>420</v>
      </c>
      <c r="L117" s="275">
        <v>420</v>
      </c>
      <c r="M117" s="293">
        <v>420</v>
      </c>
      <c r="N117" s="293">
        <v>420</v>
      </c>
      <c r="O117" s="10"/>
      <c r="P117" s="10"/>
    </row>
    <row r="118" spans="1:16" ht="14.25" customHeight="1" x14ac:dyDescent="0.3">
      <c r="A118">
        <f t="shared" si="1"/>
        <v>117</v>
      </c>
      <c r="B118" t="s">
        <v>770</v>
      </c>
      <c r="C118">
        <v>3</v>
      </c>
      <c r="D118" s="3">
        <v>150</v>
      </c>
      <c r="E118" s="2" t="str">
        <f>VLOOKUP( T_Aop[[#This Row],[Id]], T_Aop[], ID_Jezik +10, 1)</f>
        <v>421 to 424</v>
      </c>
      <c r="F118" t="str">
        <f>REPT( "  ", T_Aop[[#This Row],[Aop nivo]]) &amp; VLOOKUP( T_Aop[[#This Row],[Id]], T_Aop[], ID_Jezik + 6, 1)</f>
        <v xml:space="preserve">      1.2. Short-term borrowings and liabilities from short-term securities</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3">
      <c r="A119">
        <f t="shared" si="1"/>
        <v>118</v>
      </c>
      <c r="B119" t="s">
        <v>770</v>
      </c>
      <c r="C119">
        <v>3</v>
      </c>
      <c r="D119" s="3">
        <v>151</v>
      </c>
      <c r="E119" s="2" t="str">
        <f>VLOOKUP( T_Aop[[#This Row],[Id]], T_Aop[], ID_Jezik +10, 1)</f>
        <v>425 and 426</v>
      </c>
      <c r="F119" t="str">
        <f>REPT( "  ", T_Aop[[#This Row],[Aop nivo]]) &amp; VLOOKUP( T_Aop[[#This Row],[Id]], T_Aop[], ID_Jezik + 6, 1)</f>
        <v xml:space="preserve">      1.3. Short-term liabilities from financial leasing</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3">
      <c r="A120">
        <f t="shared" si="1"/>
        <v>119</v>
      </c>
      <c r="B120" t="s">
        <v>770</v>
      </c>
      <c r="C120">
        <v>3</v>
      </c>
      <c r="D120" s="3">
        <v>152</v>
      </c>
      <c r="E120" s="2">
        <f>VLOOKUP( T_Aop[[#This Row],[Id]], T_Aop[], ID_Jezik +10, 1)</f>
        <v>427</v>
      </c>
      <c r="F120" t="str">
        <f>REPT( "  ", T_Aop[[#This Row],[Aop nivo]]) &amp; VLOOKUP( T_Aop[[#This Row],[Id]], T_Aop[], ID_Jezik + 6, 1)</f>
        <v xml:space="preserve">      1.4. Short-term liabilities at fair value through profit and loss</v>
      </c>
      <c r="G120" s="288" t="s">
        <v>1107</v>
      </c>
      <c r="H120" s="288" t="s">
        <v>900</v>
      </c>
      <c r="I120" s="291" t="s">
        <v>1788</v>
      </c>
      <c r="J120" s="370" t="s">
        <v>2819</v>
      </c>
      <c r="K120" s="376">
        <v>427</v>
      </c>
      <c r="L120" s="275">
        <v>427</v>
      </c>
      <c r="M120" s="293">
        <v>427</v>
      </c>
      <c r="N120" s="293">
        <v>427</v>
      </c>
      <c r="O120" s="10"/>
      <c r="P120" s="10"/>
    </row>
    <row r="121" spans="1:16" ht="14.25" customHeight="1" x14ac:dyDescent="0.3">
      <c r="A121">
        <f t="shared" si="1"/>
        <v>120</v>
      </c>
      <c r="B121" t="s">
        <v>770</v>
      </c>
      <c r="C121">
        <v>3</v>
      </c>
      <c r="D121" s="3">
        <v>153</v>
      </c>
      <c r="E121" s="2">
        <f>VLOOKUP( T_Aop[[#This Row],[Id]], T_Aop[], ID_Jezik +10, 1)</f>
        <v>428</v>
      </c>
      <c r="F121" t="str">
        <f>REPT( "  ", T_Aop[[#This Row],[Aop nivo]]) &amp; VLOOKUP( T_Aop[[#This Row],[Id]], T_Aop[], ID_Jezik + 6, 1)</f>
        <v xml:space="preserve">      1.5. Derivative financial liabilities</v>
      </c>
      <c r="G121" s="288" t="s">
        <v>1108</v>
      </c>
      <c r="H121" s="288" t="s">
        <v>901</v>
      </c>
      <c r="I121" s="291" t="s">
        <v>1789</v>
      </c>
      <c r="J121" s="370" t="s">
        <v>2820</v>
      </c>
      <c r="K121" s="376">
        <v>428</v>
      </c>
      <c r="L121" s="275">
        <v>428</v>
      </c>
      <c r="M121" s="293">
        <v>428</v>
      </c>
      <c r="N121" s="293">
        <v>428</v>
      </c>
      <c r="O121" s="10"/>
      <c r="P121" s="10"/>
    </row>
    <row r="122" spans="1:16" ht="14.25" customHeight="1" x14ac:dyDescent="0.3">
      <c r="A122">
        <f t="shared" si="1"/>
        <v>121</v>
      </c>
      <c r="B122" t="s">
        <v>770</v>
      </c>
      <c r="C122">
        <v>3</v>
      </c>
      <c r="D122" s="3">
        <v>154</v>
      </c>
      <c r="E122" s="2">
        <f>VLOOKUP( T_Aop[[#This Row],[Id]], T_Aop[], ID_Jezik +10, 1)</f>
        <v>429</v>
      </c>
      <c r="F122" t="str">
        <f>REPT( "  ", T_Aop[[#This Row],[Aop nivo]]) &amp; VLOOKUP( T_Aop[[#This Row],[Id]], T_Aop[], ID_Jezik + 6, 1)</f>
        <v xml:space="preserve">      1.6. Other short-term financial liabilities at amortised value</v>
      </c>
      <c r="G122" s="288" t="s">
        <v>1109</v>
      </c>
      <c r="H122" s="288" t="s">
        <v>902</v>
      </c>
      <c r="I122" s="291" t="s">
        <v>1790</v>
      </c>
      <c r="J122" s="370" t="s">
        <v>2821</v>
      </c>
      <c r="K122" s="376">
        <v>429</v>
      </c>
      <c r="L122" s="275">
        <v>429</v>
      </c>
      <c r="M122" s="293">
        <v>429</v>
      </c>
      <c r="N122" s="293">
        <v>429</v>
      </c>
      <c r="O122" s="10"/>
      <c r="P122" s="10"/>
    </row>
    <row r="123" spans="1:16" ht="13.5" customHeight="1" x14ac:dyDescent="0.3">
      <c r="A123">
        <f t="shared" si="1"/>
        <v>122</v>
      </c>
      <c r="B123" t="s">
        <v>770</v>
      </c>
      <c r="C123">
        <v>2</v>
      </c>
      <c r="D123" s="3">
        <v>155</v>
      </c>
      <c r="E123" s="2">
        <f>VLOOKUP( T_Aop[[#This Row],[Id]], T_Aop[], ID_Jezik +10, 1)</f>
        <v>43</v>
      </c>
      <c r="F123" t="str">
        <f>REPT( "  ", T_Aop[[#This Row],[Aop nivo]]) &amp; VLOOKUP( T_Aop[[#This Row],[Id]], T_Aop[], ID_Jezik + 6, 1)</f>
        <v xml:space="preserve">    2. Operating liabilities (156 to 160)</v>
      </c>
      <c r="G123" s="288" t="s">
        <v>1110</v>
      </c>
      <c r="H123" s="288" t="s">
        <v>903</v>
      </c>
      <c r="I123" s="291" t="s">
        <v>1791</v>
      </c>
      <c r="J123" s="370" t="s">
        <v>2053</v>
      </c>
      <c r="K123" s="376">
        <v>43</v>
      </c>
      <c r="L123" s="275">
        <v>43</v>
      </c>
      <c r="M123" s="293">
        <v>43</v>
      </c>
      <c r="N123" s="293">
        <v>43</v>
      </c>
      <c r="O123" s="10"/>
      <c r="P123" s="10"/>
    </row>
    <row r="124" spans="1:16" ht="13.5" customHeight="1" x14ac:dyDescent="0.3">
      <c r="A124">
        <f t="shared" si="1"/>
        <v>123</v>
      </c>
      <c r="B124" t="s">
        <v>770</v>
      </c>
      <c r="C124">
        <v>3</v>
      </c>
      <c r="D124" s="3">
        <v>156</v>
      </c>
      <c r="E124" s="2" t="str">
        <f>VLOOKUP( T_Aop[[#This Row],[Id]], T_Aop[], ID_Jezik +10, 1)</f>
        <v>430 and 436</v>
      </c>
      <c r="F124" t="str">
        <f>REPT( "  ", T_Aop[[#This Row],[Aop nivo]]) &amp; VLOOKUP( T_Aop[[#This Row],[Id]], T_Aop[], ID_Jezik + 6, 1)</f>
        <v xml:space="preserve">      2.1. Prepayments, deposits and bails received</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3">
      <c r="A125">
        <f t="shared" si="1"/>
        <v>124</v>
      </c>
      <c r="B125" t="s">
        <v>770</v>
      </c>
      <c r="C125">
        <v>3</v>
      </c>
      <c r="D125" s="3">
        <v>157</v>
      </c>
      <c r="E125" s="2">
        <f>VLOOKUP( T_Aop[[#This Row],[Id]], T_Aop[], ID_Jezik +10, 1)</f>
        <v>431</v>
      </c>
      <c r="F125" t="str">
        <f>REPT( "  ", T_Aop[[#This Row],[Aop nivo]]) &amp; VLOOKUP( T_Aop[[#This Row],[Id]], T_Aop[], ID_Jezik + 6, 1)</f>
        <v xml:space="preserve">      2.2. Suppliers-related legal entities</v>
      </c>
      <c r="G125" s="288" t="s">
        <v>1112</v>
      </c>
      <c r="H125" s="288" t="s">
        <v>905</v>
      </c>
      <c r="I125" s="291" t="s">
        <v>1793</v>
      </c>
      <c r="J125" s="370" t="s">
        <v>2828</v>
      </c>
      <c r="K125" s="376">
        <v>431</v>
      </c>
      <c r="L125" s="275">
        <v>431</v>
      </c>
      <c r="M125" s="293">
        <v>431</v>
      </c>
      <c r="N125" s="293">
        <v>431</v>
      </c>
      <c r="O125" s="10"/>
      <c r="P125" s="10"/>
    </row>
    <row r="126" spans="1:16" ht="13.5" customHeight="1" x14ac:dyDescent="0.3">
      <c r="A126">
        <f t="shared" si="1"/>
        <v>125</v>
      </c>
      <c r="B126" t="s">
        <v>770</v>
      </c>
      <c r="C126">
        <v>3</v>
      </c>
      <c r="D126" s="3">
        <v>158</v>
      </c>
      <c r="E126" s="2" t="str">
        <f>VLOOKUP( T_Aop[[#This Row],[Id]], T_Aop[], ID_Jezik +10, 1)</f>
        <v>432, 433, 434</v>
      </c>
      <c r="F126" t="str">
        <f>REPT( "  ", T_Aop[[#This Row],[Aop nivo]]) &amp; VLOOKUP( T_Aop[[#This Row],[Id]], T_Aop[], ID_Jezik + 6, 1)</f>
        <v xml:space="preserve">      2.3. Domestic suppliers</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3">
      <c r="A127">
        <f t="shared" si="1"/>
        <v>126</v>
      </c>
      <c r="B127" t="s">
        <v>770</v>
      </c>
      <c r="C127">
        <v>3</v>
      </c>
      <c r="D127" s="3">
        <v>159</v>
      </c>
      <c r="E127" s="2">
        <f>VLOOKUP( T_Aop[[#This Row],[Id]], T_Aop[], ID_Jezik +10, 1)</f>
        <v>435</v>
      </c>
      <c r="F127" t="str">
        <f>REPT( "  ", T_Aop[[#This Row],[Aop nivo]]) &amp; VLOOKUP( T_Aop[[#This Row],[Id]], T_Aop[], ID_Jezik + 6, 1)</f>
        <v xml:space="preserve">      2.4. Foreign suppliers</v>
      </c>
      <c r="G127" s="288" t="s">
        <v>1114</v>
      </c>
      <c r="H127" s="288" t="s">
        <v>907</v>
      </c>
      <c r="I127" s="291" t="s">
        <v>1795</v>
      </c>
      <c r="J127" s="370" t="s">
        <v>2826</v>
      </c>
      <c r="K127" s="376">
        <v>435</v>
      </c>
      <c r="L127" s="275">
        <v>435</v>
      </c>
      <c r="M127" s="293">
        <v>435</v>
      </c>
      <c r="N127" s="293">
        <v>435</v>
      </c>
      <c r="O127" s="10"/>
      <c r="P127" s="10"/>
    </row>
    <row r="128" spans="1:16" ht="13.5" customHeight="1" x14ac:dyDescent="0.3">
      <c r="A128">
        <f t="shared" si="1"/>
        <v>127</v>
      </c>
      <c r="B128" t="s">
        <v>770</v>
      </c>
      <c r="C128">
        <v>3</v>
      </c>
      <c r="D128" s="3">
        <v>160</v>
      </c>
      <c r="E128" s="2" t="str">
        <f>VLOOKUP( T_Aop[[#This Row],[Id]], T_Aop[], ID_Jezik +10, 1)</f>
        <v>437, 439</v>
      </c>
      <c r="F128" t="str">
        <f>REPT( "  ", T_Aop[[#This Row],[Aop nivo]]) &amp; VLOOKUP( T_Aop[[#This Row],[Id]], T_Aop[], ID_Jezik + 6, 1)</f>
        <v xml:space="preserve">      2.5. Other operating liabilities</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3">
      <c r="A129">
        <f t="shared" si="1"/>
        <v>128</v>
      </c>
      <c r="B129" t="s">
        <v>770</v>
      </c>
      <c r="C129">
        <v>2</v>
      </c>
      <c r="D129" s="3">
        <v>161</v>
      </c>
      <c r="E129" s="2" t="str">
        <f>VLOOKUP( T_Aop[[#This Row],[Id]], T_Aop[], ID_Jezik +10, 1)</f>
        <v>440 to 449</v>
      </c>
      <c r="F129" t="str">
        <f>REPT( "  ", T_Aop[[#This Row],[Aop nivo]]) &amp; VLOOKUP( T_Aop[[#This Row],[Id]], T_Aop[], ID_Jezik + 6, 1)</f>
        <v xml:space="preserve">    3. Liabilities from specific operations</v>
      </c>
      <c r="G129" s="288" t="s">
        <v>0</v>
      </c>
      <c r="H129" s="288" t="s">
        <v>506</v>
      </c>
      <c r="I129" s="291" t="s">
        <v>1797</v>
      </c>
      <c r="J129" s="370" t="s">
        <v>2054</v>
      </c>
      <c r="K129" s="376" t="s">
        <v>98</v>
      </c>
      <c r="L129" s="275" t="s">
        <v>646</v>
      </c>
      <c r="M129" s="293" t="s">
        <v>10</v>
      </c>
      <c r="N129" s="293" t="s">
        <v>646</v>
      </c>
      <c r="O129" s="10"/>
      <c r="P129" s="10"/>
    </row>
    <row r="130" spans="1:16" ht="13.5" customHeight="1" x14ac:dyDescent="0.3">
      <c r="A130">
        <f t="shared" ref="A130:A193" si="2">ROW()-ROW($A$1)</f>
        <v>129</v>
      </c>
      <c r="B130" t="s">
        <v>770</v>
      </c>
      <c r="C130">
        <v>2</v>
      </c>
      <c r="D130">
        <v>162</v>
      </c>
      <c r="E130" s="2" t="str">
        <f>VLOOKUP( T_Aop[[#This Row],[Id]], T_Aop[], ID_Jezik +10, 1)</f>
        <v>450 to 458</v>
      </c>
      <c r="F130" t="str">
        <f>REPT( "  ", T_Aop[[#This Row],[Aop nivo]]) &amp; VLOOKUP( T_Aop[[#This Row],[Id]], T_Aop[], ID_Jezik + 6, 1)</f>
        <v xml:space="preserve">    4. Wages (salaries) and salaries (salaries compensations) payable</v>
      </c>
      <c r="G130" s="288" t="s">
        <v>2204</v>
      </c>
      <c r="H130" s="288" t="s">
        <v>2205</v>
      </c>
      <c r="I130" s="291" t="s">
        <v>1798</v>
      </c>
      <c r="J130" s="370" t="s">
        <v>2055</v>
      </c>
      <c r="K130" s="376" t="s">
        <v>99</v>
      </c>
      <c r="L130" s="275" t="s">
        <v>647</v>
      </c>
      <c r="M130" s="293" t="s">
        <v>11</v>
      </c>
      <c r="N130" s="293" t="s">
        <v>647</v>
      </c>
      <c r="O130" s="10"/>
      <c r="P130" s="10"/>
    </row>
    <row r="131" spans="1:16" ht="13.5" customHeight="1" x14ac:dyDescent="0.3">
      <c r="A131">
        <f t="shared" si="2"/>
        <v>130</v>
      </c>
      <c r="B131" t="s">
        <v>770</v>
      </c>
      <c r="C131">
        <v>2</v>
      </c>
      <c r="D131" s="3">
        <v>163</v>
      </c>
      <c r="E131" s="2" t="str">
        <f>VLOOKUP( T_Aop[[#This Row],[Id]], T_Aop[], ID_Jezik +10, 1)</f>
        <v>460 to 469</v>
      </c>
      <c r="F131" t="str">
        <f>REPT( "  ", T_Aop[[#This Row],[Aop nivo]]) &amp; VLOOKUP( T_Aop[[#This Row],[Id]], T_Aop[], ID_Jezik + 6, 1)</f>
        <v xml:space="preserve">    5. Other liabilities</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3">
      <c r="A132">
        <f t="shared" si="2"/>
        <v>131</v>
      </c>
      <c r="B132" t="s">
        <v>770</v>
      </c>
      <c r="C132">
        <v>2</v>
      </c>
      <c r="D132" s="3">
        <v>164</v>
      </c>
      <c r="E132" s="2" t="str">
        <f>VLOOKUP( T_Aop[[#This Row],[Id]], T_Aop[], ID_Jezik +10, 1)</f>
        <v>470 to 479</v>
      </c>
      <c r="F132" t="str">
        <f>REPT( "  ", T_Aop[[#This Row],[Aop nivo]]) &amp; VLOOKUP( T_Aop[[#This Row],[Id]], T_Aop[], ID_Jezik + 6, 1)</f>
        <v xml:space="preserve">    6. Value added tax</v>
      </c>
      <c r="G132" s="288" t="s">
        <v>95</v>
      </c>
      <c r="H132" s="288" t="s">
        <v>507</v>
      </c>
      <c r="I132" s="291" t="s">
        <v>1800</v>
      </c>
      <c r="J132" s="370" t="s">
        <v>2057</v>
      </c>
      <c r="K132" s="376" t="s">
        <v>100</v>
      </c>
      <c r="L132" s="275" t="s">
        <v>648</v>
      </c>
      <c r="M132" s="293" t="s">
        <v>12</v>
      </c>
      <c r="N132" s="293" t="s">
        <v>648</v>
      </c>
      <c r="O132" s="10"/>
      <c r="P132" s="10"/>
    </row>
    <row r="133" spans="1:16" ht="13.5" customHeight="1" x14ac:dyDescent="0.3">
      <c r="A133">
        <f t="shared" si="2"/>
        <v>132</v>
      </c>
      <c r="B133" t="s">
        <v>770</v>
      </c>
      <c r="C133">
        <v>2</v>
      </c>
      <c r="D133" s="3">
        <v>165</v>
      </c>
      <c r="E133" s="2" t="str">
        <f>VLOOKUP( T_Aop[[#This Row],[Id]], T_Aop[], ID_Jezik +10, 1)</f>
        <v>48, except 481</v>
      </c>
      <c r="F133" t="str">
        <f>REPT( "  ", T_Aop[[#This Row],[Aop nivo]]) &amp; VLOOKUP( T_Aop[[#This Row],[Id]], T_Aop[], ID_Jezik + 6, 1)</f>
        <v xml:space="preserve">    7. Other taxes, contributions and other fees payable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3">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Profit tax liabilities</v>
      </c>
      <c r="G134" s="312" t="s">
        <v>1117</v>
      </c>
      <c r="H134" s="312" t="s">
        <v>910</v>
      </c>
      <c r="I134" s="342" t="s">
        <v>1802</v>
      </c>
      <c r="J134" s="379" t="s">
        <v>2059</v>
      </c>
      <c r="K134" s="376">
        <v>481</v>
      </c>
      <c r="L134" s="275">
        <v>481</v>
      </c>
      <c r="M134" s="293">
        <v>481</v>
      </c>
      <c r="N134" s="293">
        <v>481</v>
      </c>
      <c r="O134" s="344">
        <v>1</v>
      </c>
      <c r="P134" s="344"/>
    </row>
    <row r="135" spans="1:16" ht="13.5" customHeight="1" x14ac:dyDescent="0.3">
      <c r="A135">
        <f t="shared" si="2"/>
        <v>134</v>
      </c>
      <c r="B135" t="s">
        <v>770</v>
      </c>
      <c r="C135">
        <v>2</v>
      </c>
      <c r="D135" s="340">
        <v>167</v>
      </c>
      <c r="E135" s="341" t="str">
        <f>VLOOKUP( T_Aop[[#This Row],[Id]], T_Aop[], ID_Jezik +10, 1)</f>
        <v>49, except 496</v>
      </c>
      <c r="F135" s="339" t="str">
        <f>REPT( "  ", T_Aop[[#This Row],[Aop nivo]]) &amp; VLOOKUP( T_Aop[[#This Row],[Id]], T_Aop[], ID_Jezik + 6, 1)</f>
        <v xml:space="preserve">    9. Short-term accruals</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3">
      <c r="A136">
        <f t="shared" si="2"/>
        <v>135</v>
      </c>
      <c r="B136" t="s">
        <v>770</v>
      </c>
      <c r="C136">
        <v>2</v>
      </c>
      <c r="D136" s="55">
        <v>168</v>
      </c>
      <c r="E136" s="2">
        <f>VLOOKUP( T_Aop[[#This Row],[Id]], T_Aop[], ID_Jezik +10, 1)</f>
        <v>496</v>
      </c>
      <c r="F136" t="str">
        <f>REPT( "  ", T_Aop[[#This Row],[Aop nivo]]) &amp; VLOOKUP( T_Aop[[#This Row],[Id]], T_Aop[], ID_Jezik + 6, 1)</f>
        <v xml:space="preserve">    10. Short-term provisions</v>
      </c>
      <c r="G136" s="288" t="s">
        <v>1119</v>
      </c>
      <c r="H136" s="288" t="s">
        <v>912</v>
      </c>
      <c r="I136" s="291" t="s">
        <v>1804</v>
      </c>
      <c r="J136" s="370" t="s">
        <v>2061</v>
      </c>
      <c r="K136" s="293">
        <v>496</v>
      </c>
      <c r="L136" s="293">
        <v>496</v>
      </c>
      <c r="M136" s="293">
        <v>496</v>
      </c>
      <c r="N136" s="293">
        <v>496</v>
      </c>
      <c r="O136" s="10"/>
      <c r="P136" s="10"/>
    </row>
    <row r="137" spans="1:16" ht="13.5" customHeight="1" x14ac:dyDescent="0.3">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3">
      <c r="A138">
        <f t="shared" si="2"/>
        <v>137</v>
      </c>
      <c r="B138" t="s">
        <v>770</v>
      </c>
      <c r="C138">
        <v>1</v>
      </c>
      <c r="D138">
        <v>169</v>
      </c>
      <c r="E138" s="2"/>
      <c r="F138" t="str">
        <f>REPT( "  ", T_Aop[[#This Row],[Aop nivo]]) &amp; VLOOKUP( T_Aop[[#This Row],[Id]], T_Aop[], ID_Jezik + 6, 1)</f>
        <v xml:space="preserve">  D. BALANCE SHEET EQUITY AND LIABILITIES(101 + 132 + 146 + 147)</v>
      </c>
      <c r="G138" s="281" t="s">
        <v>1120</v>
      </c>
      <c r="H138" s="288" t="s">
        <v>913</v>
      </c>
      <c r="I138" s="291" t="s">
        <v>1805</v>
      </c>
      <c r="J138" s="370" t="s">
        <v>2062</v>
      </c>
      <c r="K138" s="293"/>
      <c r="L138" s="293"/>
      <c r="M138" s="293"/>
      <c r="N138" s="293"/>
      <c r="O138" s="10"/>
      <c r="P138" s="10"/>
    </row>
    <row r="139" spans="1:16" ht="13.5" customHeight="1" x14ac:dyDescent="0.3">
      <c r="A139">
        <f t="shared" si="2"/>
        <v>138</v>
      </c>
      <c r="B139" s="258" t="s">
        <v>770</v>
      </c>
      <c r="C139" s="258">
        <v>1</v>
      </c>
      <c r="D139" s="367">
        <v>170</v>
      </c>
      <c r="E139" s="2" t="str">
        <f>VLOOKUP( T_Aop[[#This Row],[Id]], T_Aop[], ID_Jezik +10, 1)</f>
        <v>890 to 898</v>
      </c>
      <c r="F139" t="str">
        <f>REPT( "  ", T_Aop[[#This Row],[Aop nivo]]) &amp; VLOOKUP( T_Aop[[#This Row],[Id]], T_Aop[], ID_Jezik + 6, 1)</f>
        <v xml:space="preserve">  E. OFF BALANCE SHEET EQUITY AND LIABILITIES</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3">
      <c r="A140">
        <f t="shared" si="2"/>
        <v>139</v>
      </c>
      <c r="B140" t="s">
        <v>255</v>
      </c>
      <c r="C140">
        <v>1</v>
      </c>
      <c r="D140">
        <v>201</v>
      </c>
      <c r="E140" s="2">
        <f>VLOOKUP( T_Aop[[#This Row],[Id]], T_Aop[], ID_Jezik +10, 1)</f>
        <v>0</v>
      </c>
      <c r="F140" t="str">
        <f>REPT( "  ", T_Aop[[#This Row],[Aop nivo]]) &amp; VLOOKUP( T_Aop[[#This Row],[Id]], T_Aop[], ID_Jezik + 6, 1)</f>
        <v xml:space="preserve">  A. OPERATING INCOME AND EXPENSES I OPERATING INCOME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3">
      <c r="A141">
        <f t="shared" si="2"/>
        <v>140</v>
      </c>
      <c r="B141" t="s">
        <v>255</v>
      </c>
      <c r="C141">
        <v>2</v>
      </c>
      <c r="D141">
        <v>202</v>
      </c>
      <c r="E141" s="2">
        <f>VLOOKUP( T_Aop[[#This Row],[Id]], T_Aop[], ID_Jezik +10, 1)</f>
        <v>60</v>
      </c>
      <c r="F141" t="str">
        <f>REPT( "  ", T_Aop[[#This Row],[Aop nivo]]) &amp; VLOOKUP( T_Aop[[#This Row],[Id]], T_Aop[], ID_Jezik + 6, 1)</f>
        <v xml:space="preserve">    1. Income from sales of merchandise goods (203 to 205)</v>
      </c>
      <c r="G141" s="288" t="s">
        <v>66</v>
      </c>
      <c r="H141" s="288" t="s">
        <v>1129</v>
      </c>
      <c r="I141" s="295" t="s">
        <v>2778</v>
      </c>
      <c r="J141" s="370" t="s">
        <v>2511</v>
      </c>
      <c r="K141" s="376">
        <v>60</v>
      </c>
      <c r="L141" s="275">
        <v>60</v>
      </c>
      <c r="M141" s="293">
        <v>60</v>
      </c>
      <c r="N141" s="293">
        <v>60</v>
      </c>
      <c r="O141" s="10">
        <v>1</v>
      </c>
      <c r="P141" s="10"/>
    </row>
    <row r="142" spans="1:16" ht="13.5" customHeight="1" x14ac:dyDescent="0.3">
      <c r="A142">
        <f t="shared" si="2"/>
        <v>141</v>
      </c>
      <c r="B142" t="s">
        <v>255</v>
      </c>
      <c r="C142">
        <v>3</v>
      </c>
      <c r="D142">
        <v>203</v>
      </c>
      <c r="E142" s="2" t="str">
        <f>VLOOKUP( T_Aop[[#This Row],[Id]], T_Aop[], ID_Jezik +10, 1)</f>
        <v>600, part 605</v>
      </c>
      <c r="F142" t="str">
        <f>REPT( "  ", T_Aop[[#This Row],[Aop nivo]]) &amp; VLOOKUP( T_Aop[[#This Row],[Id]], T_Aop[], ID_Jezik + 6, 1)</f>
        <v xml:space="preserve">      a) Income from sale of merchandise goods to related legal entities</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3">
      <c r="A143">
        <f t="shared" si="2"/>
        <v>142</v>
      </c>
      <c r="B143" t="s">
        <v>255</v>
      </c>
      <c r="C143">
        <v>3</v>
      </c>
      <c r="D143">
        <v>204</v>
      </c>
      <c r="E143" s="2" t="str">
        <f>VLOOKUP( T_Aop[[#This Row],[Id]], T_Aop[], ID_Jezik +10, 1)</f>
        <v>601, 602, 603, part 605</v>
      </c>
      <c r="F143" t="str">
        <f>REPT( "  ", T_Aop[[#This Row],[Aop nivo]]) &amp; VLOOKUP( T_Aop[[#This Row],[Id]], T_Aop[], ID_Jezik + 6, 1)</f>
        <v xml:space="preserve">      b) Income from sale of merchandise goods on domestic market</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3">
      <c r="A144">
        <f t="shared" si="2"/>
        <v>143</v>
      </c>
      <c r="B144" t="s">
        <v>255</v>
      </c>
      <c r="C144">
        <v>3</v>
      </c>
      <c r="D144">
        <v>205</v>
      </c>
      <c r="E144" s="2" t="str">
        <f>VLOOKUP( T_Aop[[#This Row],[Id]], T_Aop[], ID_Jezik +10, 1)</f>
        <v>604, part 605</v>
      </c>
      <c r="F144" t="str">
        <f>REPT( "  ", T_Aop[[#This Row],[Aop nivo]]) &amp; VLOOKUP( T_Aop[[#This Row],[Id]], T_Aop[], ID_Jezik + 6, 1)</f>
        <v xml:space="preserve">      c) Income from sale of merchandise goods on foreign market</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3">
      <c r="A145">
        <f t="shared" si="2"/>
        <v>144</v>
      </c>
      <c r="B145" t="s">
        <v>255</v>
      </c>
      <c r="C145">
        <v>2</v>
      </c>
      <c r="D145">
        <v>206</v>
      </c>
      <c r="E145" s="2">
        <f>VLOOKUP( T_Aop[[#This Row],[Id]], T_Aop[], ID_Jezik +10, 1)</f>
        <v>61</v>
      </c>
      <c r="F145" t="str">
        <f>REPT( "  ", T_Aop[[#This Row],[Aop nivo]]) &amp; VLOOKUP( T_Aop[[#This Row],[Id]], T_Aop[], ID_Jezik + 6, 1)</f>
        <v xml:space="preserve">    2. Income from sale of products (207 to 209)</v>
      </c>
      <c r="G145" s="288" t="s">
        <v>1175</v>
      </c>
      <c r="H145" s="288" t="s">
        <v>1130</v>
      </c>
      <c r="I145" s="295" t="s">
        <v>2779</v>
      </c>
      <c r="J145" s="370" t="s">
        <v>2512</v>
      </c>
      <c r="K145" s="376" t="s">
        <v>1250</v>
      </c>
      <c r="L145" s="275">
        <v>61</v>
      </c>
      <c r="M145" s="293">
        <v>61</v>
      </c>
      <c r="N145" s="293">
        <v>61</v>
      </c>
      <c r="O145" s="10"/>
      <c r="P145" s="10"/>
    </row>
    <row r="146" spans="1:16" ht="13.5" customHeight="1" x14ac:dyDescent="0.3">
      <c r="A146">
        <f t="shared" si="2"/>
        <v>145</v>
      </c>
      <c r="B146" t="s">
        <v>255</v>
      </c>
      <c r="C146">
        <v>3</v>
      </c>
      <c r="D146">
        <v>207</v>
      </c>
      <c r="E146" s="2" t="str">
        <f>VLOOKUP( T_Aop[[#This Row],[Id]], T_Aop[], ID_Jezik +10, 1)</f>
        <v>610, partо 615</v>
      </c>
      <c r="F146" t="str">
        <f>REPT( "  ", T_Aop[[#This Row],[Aop nivo]]) &amp; VLOOKUP( T_Aop[[#This Row],[Id]], T_Aop[], ID_Jezik + 6, 1)</f>
        <v xml:space="preserve">      a) Income from sale of products to related legal entities</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3">
      <c r="A147">
        <f t="shared" si="2"/>
        <v>146</v>
      </c>
      <c r="B147" t="s">
        <v>255</v>
      </c>
      <c r="C147">
        <v>3</v>
      </c>
      <c r="D147">
        <v>208</v>
      </c>
      <c r="E147" s="2" t="str">
        <f>VLOOKUP( T_Aop[[#This Row],[Id]], T_Aop[], ID_Jezik +10, 1)</f>
        <v>611, 612, 613, part 615</v>
      </c>
      <c r="F147" t="str">
        <f>REPT( "  ", T_Aop[[#This Row],[Aop nivo]]) &amp; VLOOKUP( T_Aop[[#This Row],[Id]], T_Aop[], ID_Jezik + 6, 1)</f>
        <v xml:space="preserve">      b) Income from sale of products on domestic market</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3">
      <c r="A148">
        <f t="shared" si="2"/>
        <v>147</v>
      </c>
      <c r="B148" t="s">
        <v>255</v>
      </c>
      <c r="C148">
        <v>3</v>
      </c>
      <c r="D148">
        <v>209</v>
      </c>
      <c r="E148" s="2" t="str">
        <f>VLOOKUP( T_Aop[[#This Row],[Id]], T_Aop[], ID_Jezik +10, 1)</f>
        <v>614, part 615</v>
      </c>
      <c r="F148" t="str">
        <f>REPT( "  ", T_Aop[[#This Row],[Aop nivo]]) &amp; VLOOKUP( T_Aop[[#This Row],[Id]], T_Aop[], ID_Jezik + 6, 1)</f>
        <v xml:space="preserve">      c) Income from sale of products on foreign market</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3">
      <c r="A149">
        <f t="shared" si="2"/>
        <v>148</v>
      </c>
      <c r="B149" t="s">
        <v>255</v>
      </c>
      <c r="C149">
        <v>2</v>
      </c>
      <c r="D149">
        <v>210</v>
      </c>
      <c r="E149" s="2">
        <f>VLOOKUP( T_Aop[[#This Row],[Id]], T_Aop[], ID_Jezik +10, 1)</f>
        <v>62</v>
      </c>
      <c r="F149" t="str">
        <f>REPT( "  ", T_Aop[[#This Row],[Aop nivo]]) &amp; VLOOKUP( T_Aop[[#This Row],[Id]], T_Aop[], ID_Jezik + 6, 1)</f>
        <v xml:space="preserve">    3. Income from services (2011 to 213)</v>
      </c>
      <c r="G149" s="288" t="s">
        <v>1178</v>
      </c>
      <c r="H149" s="288" t="s">
        <v>1131</v>
      </c>
      <c r="I149" s="295" t="s">
        <v>1835</v>
      </c>
      <c r="J149" s="370" t="s">
        <v>2513</v>
      </c>
      <c r="K149" s="376" t="s">
        <v>1253</v>
      </c>
      <c r="L149" s="275">
        <v>62</v>
      </c>
      <c r="M149" s="293">
        <v>62</v>
      </c>
      <c r="N149" s="293">
        <v>62</v>
      </c>
      <c r="O149" s="10"/>
      <c r="P149" s="10"/>
    </row>
    <row r="150" spans="1:16" ht="13.5" customHeight="1" x14ac:dyDescent="0.3">
      <c r="A150">
        <f t="shared" si="2"/>
        <v>149</v>
      </c>
      <c r="B150" t="s">
        <v>255</v>
      </c>
      <c r="C150">
        <v>3</v>
      </c>
      <c r="D150">
        <v>211</v>
      </c>
      <c r="E150" s="2" t="str">
        <f>VLOOKUP( T_Aop[[#This Row],[Id]], T_Aop[], ID_Jezik +10, 1)</f>
        <v>620, part 625</v>
      </c>
      <c r="F150" t="str">
        <f>REPT( "  ", T_Aop[[#This Row],[Aop nivo]]) &amp; VLOOKUP( T_Aop[[#This Row],[Id]], T_Aop[], ID_Jezik + 6, 1)</f>
        <v xml:space="preserve">      a) Income from services to related entities</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3">
      <c r="A151">
        <f t="shared" si="2"/>
        <v>150</v>
      </c>
      <c r="B151" t="s">
        <v>255</v>
      </c>
      <c r="C151">
        <v>3</v>
      </c>
      <c r="D151">
        <v>212</v>
      </c>
      <c r="E151" s="2" t="str">
        <f>VLOOKUP( T_Aop[[#This Row],[Id]], T_Aop[], ID_Jezik +10, 1)</f>
        <v>621, 622, 623, part 625</v>
      </c>
      <c r="F151" t="str">
        <f>REPT( "  ", T_Aop[[#This Row],[Aop nivo]]) &amp; VLOOKUP( T_Aop[[#This Row],[Id]], T_Aop[], ID_Jezik + 6, 1)</f>
        <v xml:space="preserve">      b) Income from services on domestic market</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3">
      <c r="A152">
        <f t="shared" si="2"/>
        <v>151</v>
      </c>
      <c r="B152" t="s">
        <v>255</v>
      </c>
      <c r="C152">
        <v>3</v>
      </c>
      <c r="D152">
        <v>213</v>
      </c>
      <c r="E152" s="2" t="str">
        <f>VLOOKUP( T_Aop[[#This Row],[Id]], T_Aop[], ID_Jezik +10, 1)</f>
        <v>624, part 625</v>
      </c>
      <c r="F152" t="str">
        <f>REPT( "  ", T_Aop[[#This Row],[Aop nivo]]) &amp; VLOOKUP( T_Aop[[#This Row],[Id]], T_Aop[], ID_Jezik + 6, 1)</f>
        <v xml:space="preserve">      c) Income from services on foreign market</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3">
      <c r="A153">
        <f t="shared" si="2"/>
        <v>152</v>
      </c>
      <c r="B153" t="s">
        <v>255</v>
      </c>
      <c r="C153">
        <v>2</v>
      </c>
      <c r="D153">
        <v>214</v>
      </c>
      <c r="E153" s="2">
        <f>VLOOKUP( T_Aop[[#This Row],[Id]], T_Aop[], ID_Jezik +10, 1)</f>
        <v>630</v>
      </c>
      <c r="F153" t="str">
        <f>REPT( "  ", T_Aop[[#This Row],[Aop nivo]]) &amp; VLOOKUP( T_Aop[[#This Row],[Id]], T_Aop[], ID_Jezik + 6, 1)</f>
        <v xml:space="preserve">    4. Increase of value of products in stock</v>
      </c>
      <c r="G153" s="288" t="s">
        <v>1214</v>
      </c>
      <c r="H153" s="288" t="s">
        <v>1217</v>
      </c>
      <c r="I153" s="295" t="s">
        <v>1839</v>
      </c>
      <c r="J153" s="370" t="s">
        <v>2836</v>
      </c>
      <c r="K153" s="376" t="s">
        <v>1257</v>
      </c>
      <c r="L153" s="275">
        <v>630</v>
      </c>
      <c r="M153" s="293">
        <v>630</v>
      </c>
      <c r="N153" s="293">
        <v>630</v>
      </c>
      <c r="O153" s="10"/>
      <c r="P153" s="10"/>
    </row>
    <row r="154" spans="1:16" ht="13.5" customHeight="1" x14ac:dyDescent="0.3">
      <c r="A154">
        <f t="shared" si="2"/>
        <v>153</v>
      </c>
      <c r="B154" t="s">
        <v>255</v>
      </c>
      <c r="C154">
        <v>2</v>
      </c>
      <c r="D154">
        <v>215</v>
      </c>
      <c r="E154" s="2">
        <f>VLOOKUP( T_Aop[[#This Row],[Id]], T_Aop[], ID_Jezik +10, 1)</f>
        <v>631</v>
      </c>
      <c r="F154" t="str">
        <f>REPT( "  ", T_Aop[[#This Row],[Aop nivo]]) &amp; VLOOKUP( T_Aop[[#This Row],[Id]], T_Aop[], ID_Jezik + 6, 1)</f>
        <v xml:space="preserve">    5. Decrease of value of products in stock</v>
      </c>
      <c r="G154" s="288" t="s">
        <v>1215</v>
      </c>
      <c r="H154" s="288" t="s">
        <v>1216</v>
      </c>
      <c r="I154" s="295" t="s">
        <v>1840</v>
      </c>
      <c r="J154" s="370" t="s">
        <v>2837</v>
      </c>
      <c r="K154" s="376" t="s">
        <v>1258</v>
      </c>
      <c r="L154" s="275">
        <v>631</v>
      </c>
      <c r="M154" s="293">
        <v>631</v>
      </c>
      <c r="N154" s="293">
        <v>631</v>
      </c>
      <c r="O154" s="10"/>
      <c r="P154" s="10"/>
    </row>
    <row r="155" spans="1:16" ht="12.75" customHeight="1" x14ac:dyDescent="0.3">
      <c r="A155">
        <f t="shared" si="2"/>
        <v>154</v>
      </c>
      <c r="B155" t="s">
        <v>255</v>
      </c>
      <c r="C155">
        <v>2</v>
      </c>
      <c r="D155">
        <v>216</v>
      </c>
      <c r="E155" s="2" t="str">
        <f>VLOOKUP( T_Aop[[#This Row],[Id]], T_Aop[], ID_Jezik +10, 1)</f>
        <v>640 and 641</v>
      </c>
      <c r="F155" t="str">
        <f>REPT( "  ", T_Aop[[#This Row],[Aop nivo]]) &amp; VLOOKUP( T_Aop[[#This Row],[Id]], T_Aop[], ID_Jezik + 6, 1)</f>
        <v xml:space="preserve">    6. Increase of the value of investment real estates and biological assets that are not subject to depreciation</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3">
      <c r="A156">
        <f t="shared" si="2"/>
        <v>155</v>
      </c>
      <c r="B156" t="s">
        <v>255</v>
      </c>
      <c r="C156">
        <v>2</v>
      </c>
      <c r="D156">
        <v>217</v>
      </c>
      <c r="E156" s="2" t="str">
        <f>VLOOKUP( T_Aop[[#This Row],[Id]], T_Aop[], ID_Jezik +10, 1)</f>
        <v>642 and 643</v>
      </c>
      <c r="F156" t="str">
        <f>REPT( "  ", T_Aop[[#This Row],[Aop nivo]]) &amp; VLOOKUP( T_Aop[[#This Row],[Id]], T_Aop[], ID_Jezik + 6, 1)</f>
        <v xml:space="preserve">    7. Decrease of the value of investment real estates and biological assets that are not subject to depreciation</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3">
      <c r="A157">
        <f t="shared" si="2"/>
        <v>156</v>
      </c>
      <c r="B157" t="s">
        <v>255</v>
      </c>
      <c r="C157">
        <v>2</v>
      </c>
      <c r="D157">
        <v>218</v>
      </c>
      <c r="E157" s="2" t="str">
        <f>VLOOKUP( T_Aop[[#This Row],[Id]], T_Aop[], ID_Jezik +10, 1)</f>
        <v>650 to 659</v>
      </c>
      <c r="F157" t="str">
        <f>REPT( "  ", T_Aop[[#This Row],[Aop nivo]]) &amp; VLOOKUP( T_Aop[[#This Row],[Id]], T_Aop[], ID_Jezik + 6, 1)</f>
        <v xml:space="preserve">    8. Other operating income</v>
      </c>
      <c r="G157" s="288" t="s">
        <v>2</v>
      </c>
      <c r="H157" s="288" t="s">
        <v>512</v>
      </c>
      <c r="I157" s="295" t="s">
        <v>1843</v>
      </c>
      <c r="J157" s="370" t="s">
        <v>2073</v>
      </c>
      <c r="K157" s="376" t="s">
        <v>1</v>
      </c>
      <c r="L157" s="275" t="s">
        <v>652</v>
      </c>
      <c r="M157" s="293" t="s">
        <v>2569</v>
      </c>
      <c r="N157" s="293" t="s">
        <v>652</v>
      </c>
      <c r="O157" s="10"/>
      <c r="P157" s="10"/>
    </row>
    <row r="158" spans="1:16" ht="12.75" customHeight="1" x14ac:dyDescent="0.3">
      <c r="A158">
        <f t="shared" si="2"/>
        <v>157</v>
      </c>
      <c r="B158" t="s">
        <v>255</v>
      </c>
      <c r="C158">
        <v>1</v>
      </c>
      <c r="D158">
        <v>219</v>
      </c>
      <c r="E158" s="2">
        <f>VLOOKUP( T_Aop[[#This Row],[Id]], T_Aop[], ID_Jezik +10, 1)</f>
        <v>0</v>
      </c>
      <c r="F158" t="str">
        <f>REPT( "  ", T_Aop[[#This Row],[Aop nivo]]) &amp; VLOOKUP( T_Aop[[#This Row],[Id]], T_Aop[], ID_Jezik + 6, 1)</f>
        <v xml:space="preserve">  II OPERATING EXPENSES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3">
      <c r="A159">
        <f t="shared" si="2"/>
        <v>158</v>
      </c>
      <c r="B159" t="s">
        <v>255</v>
      </c>
      <c r="C159">
        <v>2</v>
      </c>
      <c r="D159">
        <v>220</v>
      </c>
      <c r="E159" s="2" t="str">
        <f>VLOOKUP( T_Aop[[#This Row],[Id]], T_Aop[], ID_Jezik +10, 1)</f>
        <v>500 to 502</v>
      </c>
      <c r="F159" t="str">
        <f>REPT( "  ", T_Aop[[#This Row],[Aop nivo]]) &amp; VLOOKUP( T_Aop[[#This Row],[Id]], T_Aop[], ID_Jezik + 6, 1)</f>
        <v xml:space="preserve">    1. Merchandise goods sold at cost</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3">
      <c r="A160">
        <f t="shared" si="2"/>
        <v>159</v>
      </c>
      <c r="B160" t="s">
        <v>255</v>
      </c>
      <c r="C160">
        <v>2</v>
      </c>
      <c r="D160">
        <v>221</v>
      </c>
      <c r="E160" s="2" t="str">
        <f>VLOOKUP( T_Aop[[#This Row],[Id]], T_Aop[], ID_Jezik +10, 1)</f>
        <v>510 to 512</v>
      </c>
      <c r="F160" t="str">
        <f>REPT( "  ", T_Aop[[#This Row],[Aop nivo]]) &amp; VLOOKUP( T_Aop[[#This Row],[Id]], T_Aop[], ID_Jezik + 6, 1)</f>
        <v xml:space="preserve">    2. Materials expenses</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3">
      <c r="A161">
        <f t="shared" si="2"/>
        <v>160</v>
      </c>
      <c r="B161" t="s">
        <v>255</v>
      </c>
      <c r="C161">
        <v>2</v>
      </c>
      <c r="D161">
        <v>222</v>
      </c>
      <c r="E161" s="2">
        <f>VLOOKUP( T_Aop[[#This Row],[Id]], T_Aop[], ID_Jezik +10, 1)</f>
        <v>513</v>
      </c>
      <c r="F161" t="str">
        <f>REPT( "  ", T_Aop[[#This Row],[Aop nivo]]) &amp; VLOOKUP( T_Aop[[#This Row],[Id]], T_Aop[], ID_Jezik + 6, 1)</f>
        <v xml:space="preserve">    3. Fuel and energy expenses</v>
      </c>
      <c r="G161" s="288" t="s">
        <v>2698</v>
      </c>
      <c r="H161" s="288" t="s">
        <v>1222</v>
      </c>
      <c r="I161" s="295" t="s">
        <v>1846</v>
      </c>
      <c r="J161" s="370" t="s">
        <v>2516</v>
      </c>
      <c r="K161" s="376" t="s">
        <v>1262</v>
      </c>
      <c r="L161" s="275">
        <v>513</v>
      </c>
      <c r="M161" s="293">
        <v>513</v>
      </c>
      <c r="N161" s="293">
        <v>513</v>
      </c>
      <c r="O161" s="10"/>
      <c r="P161" s="10"/>
    </row>
    <row r="162" spans="1:16" ht="12.75" customHeight="1" x14ac:dyDescent="0.3">
      <c r="A162">
        <f t="shared" si="2"/>
        <v>161</v>
      </c>
      <c r="B162" t="s">
        <v>255</v>
      </c>
      <c r="C162">
        <v>2</v>
      </c>
      <c r="D162">
        <v>223</v>
      </c>
      <c r="E162" s="2">
        <f>VLOOKUP( T_Aop[[#This Row],[Id]], T_Aop[], ID_Jezik +10, 1)</f>
        <v>52</v>
      </c>
      <c r="F162" t="str">
        <f>REPT( "  ", T_Aop[[#This Row],[Aop nivo]]) &amp; VLOOKUP( T_Aop[[#This Row],[Id]], T_Aop[], ID_Jezik + 6, 1)</f>
        <v xml:space="preserve">    4. Wages, salaries and other employee benefits expenses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3">
      <c r="A163">
        <f t="shared" si="2"/>
        <v>162</v>
      </c>
      <c r="B163" t="s">
        <v>255</v>
      </c>
      <c r="C163">
        <v>3</v>
      </c>
      <c r="D163">
        <v>224</v>
      </c>
      <c r="E163" s="2" t="str">
        <f>VLOOKUP( T_Aop[[#This Row],[Id]], T_Aop[], ID_Jezik +10, 1)</f>
        <v>520 and 523</v>
      </c>
      <c r="F163" t="str">
        <f>REPT( "  ", T_Aop[[#This Row],[Aop nivo]]) &amp; VLOOKUP( T_Aop[[#This Row],[Id]], T_Aop[], ID_Jezik + 6, 1)</f>
        <v xml:space="preserve">      a) Gross wages and gross salaries</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3">
      <c r="A164">
        <f t="shared" si="2"/>
        <v>163</v>
      </c>
      <c r="B164" t="s">
        <v>255</v>
      </c>
      <c r="C164">
        <v>3</v>
      </c>
      <c r="D164">
        <v>225</v>
      </c>
      <c r="E164" s="2" t="str">
        <f>VLOOKUP( T_Aop[[#This Row],[Id]], T_Aop[], ID_Jezik +10, 1)</f>
        <v>524 to 529</v>
      </c>
      <c r="F164" t="str">
        <f>REPT( "  ", T_Aop[[#This Row],[Aop nivo]]) &amp; VLOOKUP( T_Aop[[#This Row],[Id]], T_Aop[], ID_Jezik + 6, 1)</f>
        <v xml:space="preserve">      b) Other employee expenses</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3">
      <c r="A165">
        <f t="shared" si="2"/>
        <v>164</v>
      </c>
      <c r="B165" t="s">
        <v>255</v>
      </c>
      <c r="C165">
        <v>2</v>
      </c>
      <c r="D165">
        <v>226</v>
      </c>
      <c r="E165" s="2" t="str">
        <f>VLOOKUP( T_Aop[[#This Row],[Id]], T_Aop[], ID_Jezik +10, 1)</f>
        <v>530 to 539</v>
      </c>
      <c r="F165" t="str">
        <f>REPT( "  ", T_Aop[[#This Row],[Aop nivo]]) &amp; VLOOKUP( T_Aop[[#This Row],[Id]], T_Aop[], ID_Jezik + 6, 1)</f>
        <v xml:space="preserve">    5. Services expense</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3">
      <c r="A166">
        <f t="shared" si="2"/>
        <v>165</v>
      </c>
      <c r="B166" t="s">
        <v>255</v>
      </c>
      <c r="C166">
        <v>2</v>
      </c>
      <c r="D166">
        <v>227</v>
      </c>
      <c r="E166" s="2">
        <f>VLOOKUP( T_Aop[[#This Row],[Id]], T_Aop[], ID_Jezik +10, 1)</f>
        <v>54</v>
      </c>
      <c r="F166" t="str">
        <f>REPT( "  ", T_Aop[[#This Row],[Aop nivo]]) &amp; VLOOKUP( T_Aop[[#This Row],[Id]], T_Aop[], ID_Jezik + 6, 1)</f>
        <v xml:space="preserve">    6. Depreciation and provisions expenses (224 + 225)</v>
      </c>
      <c r="G166" s="288" t="s">
        <v>1230</v>
      </c>
      <c r="H166" s="288" t="s">
        <v>1238</v>
      </c>
      <c r="I166" s="295" t="s">
        <v>1849</v>
      </c>
      <c r="J166" s="370" t="s">
        <v>2519</v>
      </c>
      <c r="K166" s="376" t="s">
        <v>1265</v>
      </c>
      <c r="L166" s="275">
        <v>54</v>
      </c>
      <c r="M166" s="293">
        <v>54</v>
      </c>
      <c r="N166" s="293">
        <v>54</v>
      </c>
      <c r="O166" s="10"/>
      <c r="P166" s="10"/>
    </row>
    <row r="167" spans="1:16" ht="12.75" customHeight="1" x14ac:dyDescent="0.3">
      <c r="A167">
        <f t="shared" si="2"/>
        <v>166</v>
      </c>
      <c r="B167" t="s">
        <v>255</v>
      </c>
      <c r="C167">
        <v>3</v>
      </c>
      <c r="D167">
        <v>228</v>
      </c>
      <c r="E167" s="2">
        <f>VLOOKUP( T_Aop[[#This Row],[Id]], T_Aop[], ID_Jezik +10, 1)</f>
        <v>540</v>
      </c>
      <c r="F167" t="str">
        <f>REPT( "  ", T_Aop[[#This Row],[Aop nivo]]) &amp; VLOOKUP( T_Aop[[#This Row],[Id]], T_Aop[], ID_Jezik + 6, 1)</f>
        <v xml:space="preserve">      6.1 Depreciation (229 to 232)</v>
      </c>
      <c r="G167" s="288" t="s">
        <v>1184</v>
      </c>
      <c r="H167" s="288" t="s">
        <v>940</v>
      </c>
      <c r="I167" s="295" t="s">
        <v>2699</v>
      </c>
      <c r="J167" s="370" t="s">
        <v>2520</v>
      </c>
      <c r="K167" s="376" t="s">
        <v>1266</v>
      </c>
      <c r="L167" s="275">
        <v>540</v>
      </c>
      <c r="M167" s="293">
        <v>540</v>
      </c>
      <c r="N167" s="293">
        <v>540</v>
      </c>
      <c r="O167" s="10"/>
      <c r="P167" s="10"/>
    </row>
    <row r="168" spans="1:16" ht="12.75" customHeight="1" x14ac:dyDescent="0.3">
      <c r="A168">
        <f t="shared" si="2"/>
        <v>167</v>
      </c>
      <c r="B168" t="s">
        <v>255</v>
      </c>
      <c r="C168">
        <v>4</v>
      </c>
      <c r="D168">
        <v>229</v>
      </c>
      <c r="E168" s="2" t="str">
        <f>VLOOKUP( T_Aop[[#This Row],[Id]], T_Aop[], ID_Jezik +10, 1)</f>
        <v>part 540</v>
      </c>
      <c r="F168" t="str">
        <f>REPT( "  ", T_Aop[[#This Row],[Aop nivo]]) &amp; VLOOKUP( T_Aop[[#This Row],[Id]], T_Aop[], ID_Jezik + 6, 1)</f>
        <v xml:space="preserve">        a) Depreciation of real estates, plants and equipment</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3">
      <c r="A169">
        <f t="shared" si="2"/>
        <v>168</v>
      </c>
      <c r="B169" t="s">
        <v>255</v>
      </c>
      <c r="C169">
        <v>4</v>
      </c>
      <c r="D169">
        <v>230</v>
      </c>
      <c r="E169" s="2" t="str">
        <f>VLOOKUP( T_Aop[[#This Row],[Id]], T_Aop[], ID_Jezik +10, 1)</f>
        <v>part 540</v>
      </c>
      <c r="F169" t="str">
        <f>REPT( "  ", T_Aop[[#This Row],[Aop nivo]]) &amp; VLOOKUP( T_Aop[[#This Row],[Id]], T_Aop[], ID_Jezik + 6, 1)</f>
        <v xml:space="preserve">        b) Depreciation of investment real estates</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3">
      <c r="A170">
        <f t="shared" si="2"/>
        <v>169</v>
      </c>
      <c r="B170" t="s">
        <v>255</v>
      </c>
      <c r="C170">
        <v>4</v>
      </c>
      <c r="D170">
        <v>231</v>
      </c>
      <c r="E170" s="2" t="str">
        <f>VLOOKUP( T_Aop[[#This Row],[Id]], T_Aop[], ID_Jezik +10, 1)</f>
        <v>part 540</v>
      </c>
      <c r="F170" t="str">
        <f>REPT( "  ", T_Aop[[#This Row],[Aop nivo]]) &amp; VLOOKUP( T_Aop[[#This Row],[Id]], T_Aop[], ID_Jezik + 6, 1)</f>
        <v xml:space="preserve">        c) Depreciation of leased assets</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3">
      <c r="A171">
        <f t="shared" si="2"/>
        <v>170</v>
      </c>
      <c r="B171" t="s">
        <v>255</v>
      </c>
      <c r="C171">
        <v>4</v>
      </c>
      <c r="D171">
        <v>232</v>
      </c>
      <c r="E171" s="2" t="str">
        <f>VLOOKUP( T_Aop[[#This Row],[Id]], T_Aop[], ID_Jezik +10, 1)</f>
        <v>part 540</v>
      </c>
      <c r="F171" t="str">
        <f>REPT( "  ", T_Aop[[#This Row],[Aop nivo]]) &amp; VLOOKUP( T_Aop[[#This Row],[Id]], T_Aop[], ID_Jezik + 6, 1)</f>
        <v xml:space="preserve">        d) Depreciation of other assets</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3">
      <c r="A172">
        <f t="shared" si="2"/>
        <v>171</v>
      </c>
      <c r="B172" t="s">
        <v>255</v>
      </c>
      <c r="C172">
        <v>3</v>
      </c>
      <c r="D172">
        <v>233</v>
      </c>
      <c r="E172" s="2">
        <f>VLOOKUP( T_Aop[[#This Row],[Id]], T_Aop[], ID_Jezik +10, 1)</f>
        <v>541</v>
      </c>
      <c r="F172" t="str">
        <f>REPT( "  ", T_Aop[[#This Row],[Aop nivo]]) &amp; VLOOKUP( T_Aop[[#This Row],[Id]], T_Aop[], ID_Jezik + 6, 1)</f>
        <v xml:space="preserve">      6.2 Provisions expenses</v>
      </c>
      <c r="G172" s="288" t="s">
        <v>1187</v>
      </c>
      <c r="H172" s="288" t="s">
        <v>942</v>
      </c>
      <c r="I172" s="295" t="s">
        <v>1854</v>
      </c>
      <c r="J172" s="370" t="s">
        <v>2522</v>
      </c>
      <c r="K172" s="376" t="s">
        <v>1268</v>
      </c>
      <c r="L172" s="275">
        <v>541</v>
      </c>
      <c r="M172" s="293">
        <v>541</v>
      </c>
      <c r="N172" s="293">
        <v>541</v>
      </c>
      <c r="O172" s="10">
        <v>1</v>
      </c>
      <c r="P172" s="10"/>
    </row>
    <row r="173" spans="1:16" ht="12.75" customHeight="1" x14ac:dyDescent="0.3">
      <c r="A173">
        <f t="shared" si="2"/>
        <v>172</v>
      </c>
      <c r="B173" t="s">
        <v>255</v>
      </c>
      <c r="C173">
        <v>2</v>
      </c>
      <c r="D173">
        <v>234</v>
      </c>
      <c r="E173" s="2" t="str">
        <f>VLOOKUP( T_Aop[[#This Row],[Id]], T_Aop[], ID_Jezik +10, 1)</f>
        <v>56 except 555 и 556</v>
      </c>
      <c r="F173" t="str">
        <f>REPT( "  ", T_Aop[[#This Row],[Aop nivo]]) &amp; VLOOKUP( T_Aop[[#This Row],[Id]], T_Aop[], ID_Jezik + 6, 1)</f>
        <v xml:space="preserve">    7. Immaterial expense (excluding taxes and contribution)</v>
      </c>
      <c r="G173" s="288" t="s">
        <v>1233</v>
      </c>
      <c r="H173" s="288" t="s">
        <v>1234</v>
      </c>
      <c r="I173" s="295" t="s">
        <v>1855</v>
      </c>
      <c r="J173" s="370" t="s">
        <v>2523</v>
      </c>
      <c r="K173" s="376" t="s">
        <v>1269</v>
      </c>
      <c r="L173" s="275" t="s">
        <v>1145</v>
      </c>
      <c r="M173" s="293" t="s">
        <v>1917</v>
      </c>
      <c r="N173" s="293" t="s">
        <v>2308</v>
      </c>
      <c r="O173" s="10"/>
      <c r="P173" s="10"/>
    </row>
    <row r="174" spans="1:16" x14ac:dyDescent="0.3">
      <c r="A174">
        <f t="shared" si="2"/>
        <v>173</v>
      </c>
      <c r="B174" t="s">
        <v>255</v>
      </c>
      <c r="C174">
        <v>2</v>
      </c>
      <c r="D174">
        <v>235</v>
      </c>
      <c r="E174" s="2">
        <f>VLOOKUP( T_Aop[[#This Row],[Id]], T_Aop[], ID_Jezik +10, 1)</f>
        <v>555</v>
      </c>
      <c r="F174" t="str">
        <f>REPT( "  ", T_Aop[[#This Row],[Aop nivo]]) &amp; VLOOKUP( T_Aop[[#This Row],[Id]], T_Aop[], ID_Jezik + 6, 1)</f>
        <v xml:space="preserve">    8. Tax expense</v>
      </c>
      <c r="G174" s="288" t="s">
        <v>1231</v>
      </c>
      <c r="H174" s="288" t="s">
        <v>1235</v>
      </c>
      <c r="I174" s="295" t="s">
        <v>1856</v>
      </c>
      <c r="J174" s="370" t="s">
        <v>2524</v>
      </c>
      <c r="K174" s="376" t="s">
        <v>1270</v>
      </c>
      <c r="L174" s="275">
        <v>555</v>
      </c>
      <c r="M174" s="293">
        <v>555</v>
      </c>
      <c r="N174" s="293">
        <v>555</v>
      </c>
      <c r="O174" s="10"/>
      <c r="P174" s="10"/>
    </row>
    <row r="175" spans="1:16" ht="12.75" customHeight="1" x14ac:dyDescent="0.3">
      <c r="A175">
        <f t="shared" si="2"/>
        <v>174</v>
      </c>
      <c r="B175" t="s">
        <v>255</v>
      </c>
      <c r="C175">
        <v>2</v>
      </c>
      <c r="D175">
        <v>236</v>
      </c>
      <c r="E175" s="2">
        <f>VLOOKUP( T_Aop[[#This Row],[Id]], T_Aop[], ID_Jezik +10, 1)</f>
        <v>556</v>
      </c>
      <c r="F175" t="str">
        <f>REPT( "  ", T_Aop[[#This Row],[Aop nivo]]) &amp; VLOOKUP( T_Aop[[#This Row],[Id]], T_Aop[], ID_Jezik + 6, 1)</f>
        <v xml:space="preserve">    9. Contribution expense</v>
      </c>
      <c r="G175" s="288" t="s">
        <v>1232</v>
      </c>
      <c r="H175" s="288" t="s">
        <v>1236</v>
      </c>
      <c r="I175" s="295" t="s">
        <v>1857</v>
      </c>
      <c r="J175" s="370" t="s">
        <v>2525</v>
      </c>
      <c r="K175" s="376" t="s">
        <v>1271</v>
      </c>
      <c r="L175" s="275">
        <v>556</v>
      </c>
      <c r="M175" s="293">
        <v>556</v>
      </c>
      <c r="N175" s="293">
        <v>556</v>
      </c>
      <c r="O175" s="10"/>
      <c r="P175" s="10"/>
    </row>
    <row r="176" spans="1:16" ht="12.75" customHeight="1" x14ac:dyDescent="0.3">
      <c r="A176">
        <f t="shared" si="2"/>
        <v>175</v>
      </c>
      <c r="B176" t="s">
        <v>255</v>
      </c>
      <c r="C176">
        <v>1</v>
      </c>
      <c r="D176">
        <v>237</v>
      </c>
      <c r="E176" s="2">
        <f>VLOOKUP( T_Aop[[#This Row],[Id]], T_Aop[], ID_Jezik +10, 1)</f>
        <v>0</v>
      </c>
      <c r="F176" t="str">
        <f>REPT( "  ", T_Aop[[#This Row],[Aop nivo]]) &amp; VLOOKUP( T_Aop[[#This Row],[Id]], T_Aop[], ID_Jezik + 6, 1)</f>
        <v xml:space="preserve">  B. OPERATING INCOME (201 - 219)</v>
      </c>
      <c r="G176" s="281" t="s">
        <v>1188</v>
      </c>
      <c r="H176" s="288" t="s">
        <v>943</v>
      </c>
      <c r="I176" s="295" t="s">
        <v>1858</v>
      </c>
      <c r="J176" s="370" t="s">
        <v>2080</v>
      </c>
      <c r="K176" s="376"/>
      <c r="L176" s="275"/>
      <c r="M176" s="293"/>
      <c r="N176" s="293"/>
      <c r="O176" s="10"/>
      <c r="P176" s="10"/>
    </row>
    <row r="177" spans="1:16" ht="12.75" customHeight="1" x14ac:dyDescent="0.3">
      <c r="A177">
        <f t="shared" si="2"/>
        <v>176</v>
      </c>
      <c r="B177" t="s">
        <v>255</v>
      </c>
      <c r="C177">
        <v>1</v>
      </c>
      <c r="D177">
        <v>238</v>
      </c>
      <c r="E177" s="2">
        <f>VLOOKUP( T_Aop[[#This Row],[Id]], T_Aop[], ID_Jezik +10, 1)</f>
        <v>0</v>
      </c>
      <c r="F177" t="str">
        <f>REPT( "  ", T_Aop[[#This Row],[Aop nivo]]) &amp; VLOOKUP( T_Aop[[#This Row],[Id]], T_Aop[], ID_Jezik + 6, 1)</f>
        <v xml:space="preserve">  C. OPERATING LOSS (219 - 201)</v>
      </c>
      <c r="G177" s="281" t="s">
        <v>1189</v>
      </c>
      <c r="H177" s="288" t="s">
        <v>944</v>
      </c>
      <c r="I177" s="295" t="s">
        <v>1859</v>
      </c>
      <c r="J177" s="370" t="s">
        <v>2081</v>
      </c>
      <c r="K177" s="376"/>
      <c r="L177" s="275"/>
      <c r="M177" s="293"/>
      <c r="N177" s="293"/>
      <c r="O177" s="10"/>
      <c r="P177" s="10"/>
    </row>
    <row r="178" spans="1:16" ht="15" customHeight="1" x14ac:dyDescent="0.3">
      <c r="A178">
        <f t="shared" si="2"/>
        <v>177</v>
      </c>
      <c r="B178" t="s">
        <v>255</v>
      </c>
      <c r="C178">
        <v>1</v>
      </c>
      <c r="D178">
        <v>239</v>
      </c>
      <c r="E178" s="2">
        <f>VLOOKUP( T_Aop[[#This Row],[Id]], T_Aop[], ID_Jezik +10, 1)</f>
        <v>66</v>
      </c>
      <c r="F178" t="str">
        <f>REPT( "  ", T_Aop[[#This Row],[Aop nivo]]) &amp; VLOOKUP( T_Aop[[#This Row],[Id]], T_Aop[], ID_Jezik + 6, 1)</f>
        <v xml:space="preserve">  D. FINANCE INCOME AND EXPENSES  I FINANCE INCOME (240 to 243)</v>
      </c>
      <c r="G178" s="280" t="s">
        <v>1190</v>
      </c>
      <c r="H178" s="288" t="s">
        <v>945</v>
      </c>
      <c r="I178" s="295" t="s">
        <v>1860</v>
      </c>
      <c r="J178" s="370" t="s">
        <v>2217</v>
      </c>
      <c r="K178" s="376" t="s">
        <v>1272</v>
      </c>
      <c r="L178" s="275">
        <v>66</v>
      </c>
      <c r="M178" s="293">
        <v>66</v>
      </c>
      <c r="N178" s="293">
        <v>66</v>
      </c>
      <c r="O178" s="10"/>
      <c r="P178" s="10"/>
    </row>
    <row r="179" spans="1:16" x14ac:dyDescent="0.3">
      <c r="A179">
        <f t="shared" si="2"/>
        <v>178</v>
      </c>
      <c r="B179" t="s">
        <v>255</v>
      </c>
      <c r="C179">
        <v>2</v>
      </c>
      <c r="D179">
        <v>240</v>
      </c>
      <c r="E179" s="2" t="str">
        <f>VLOOKUP( T_Aop[[#This Row],[Id]], T_Aop[], ID_Jezik +10, 1)</f>
        <v>660, 661</v>
      </c>
      <c r="F179" t="str">
        <f>REPT( "  ", T_Aop[[#This Row],[Aop nivo]]) &amp; VLOOKUP( T_Aop[[#This Row],[Id]], T_Aop[], ID_Jezik + 6, 1)</f>
        <v xml:space="preserve">    1. Interest income</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3">
      <c r="A180">
        <f t="shared" si="2"/>
        <v>179</v>
      </c>
      <c r="B180" t="s">
        <v>255</v>
      </c>
      <c r="C180">
        <v>2</v>
      </c>
      <c r="D180">
        <v>241</v>
      </c>
      <c r="E180" s="2">
        <f>VLOOKUP( T_Aop[[#This Row],[Id]], T_Aop[], ID_Jezik +10, 1)</f>
        <v>662</v>
      </c>
      <c r="F180" t="str">
        <f>REPT( "  ", T_Aop[[#This Row],[Aop nivo]]) &amp; VLOOKUP( T_Aop[[#This Row],[Id]], T_Aop[], ID_Jezik + 6, 1)</f>
        <v xml:space="preserve">    2. Foreign exchange gains</v>
      </c>
      <c r="G180" s="288" t="s">
        <v>1192</v>
      </c>
      <c r="H180" s="288" t="s">
        <v>947</v>
      </c>
      <c r="I180" s="295" t="s">
        <v>1862</v>
      </c>
      <c r="J180" s="370" t="s">
        <v>2527</v>
      </c>
      <c r="K180" s="376" t="s">
        <v>1273</v>
      </c>
      <c r="L180" s="275">
        <v>662</v>
      </c>
      <c r="M180" s="293">
        <v>662</v>
      </c>
      <c r="N180" s="293">
        <v>662</v>
      </c>
      <c r="O180" s="10"/>
      <c r="P180" s="10"/>
    </row>
    <row r="181" spans="1:16" ht="12.75" customHeight="1" x14ac:dyDescent="0.3">
      <c r="A181">
        <f t="shared" si="2"/>
        <v>180</v>
      </c>
      <c r="B181" t="s">
        <v>255</v>
      </c>
      <c r="C181">
        <v>2</v>
      </c>
      <c r="D181">
        <v>242</v>
      </c>
      <c r="E181" s="2">
        <f>VLOOKUP( T_Aop[[#This Row],[Id]], T_Aop[], ID_Jezik +10, 1)</f>
        <v>663</v>
      </c>
      <c r="F181" t="str">
        <f>REPT( "  ", T_Aop[[#This Row],[Aop nivo]]) &amp; VLOOKUP( T_Aop[[#This Row],[Id]], T_Aop[], ID_Jezik + 6, 1)</f>
        <v xml:space="preserve">    3. Incomes from currency clause</v>
      </c>
      <c r="G181" s="288" t="s">
        <v>1193</v>
      </c>
      <c r="H181" s="288" t="s">
        <v>948</v>
      </c>
      <c r="I181" s="295" t="s">
        <v>1863</v>
      </c>
      <c r="J181" s="370" t="s">
        <v>2528</v>
      </c>
      <c r="K181" s="376" t="s">
        <v>1274</v>
      </c>
      <c r="L181" s="275">
        <v>663</v>
      </c>
      <c r="M181" s="293">
        <v>663</v>
      </c>
      <c r="N181" s="293">
        <v>663</v>
      </c>
      <c r="O181" s="10"/>
      <c r="P181" s="10"/>
    </row>
    <row r="182" spans="1:16" ht="12.75" customHeight="1" x14ac:dyDescent="0.3">
      <c r="A182">
        <f t="shared" si="2"/>
        <v>181</v>
      </c>
      <c r="B182" t="s">
        <v>255</v>
      </c>
      <c r="C182">
        <v>2</v>
      </c>
      <c r="D182">
        <v>243</v>
      </c>
      <c r="E182" s="2">
        <f>VLOOKUP( T_Aop[[#This Row],[Id]], T_Aop[], ID_Jezik +10, 1)</f>
        <v>669</v>
      </c>
      <c r="F182" t="str">
        <f>REPT( "  ", T_Aop[[#This Row],[Aop nivo]]) &amp; VLOOKUP( T_Aop[[#This Row],[Id]], T_Aop[], ID_Jezik + 6, 1)</f>
        <v xml:space="preserve">    4. Other finance income</v>
      </c>
      <c r="G182" s="288" t="s">
        <v>1194</v>
      </c>
      <c r="H182" s="288" t="s">
        <v>949</v>
      </c>
      <c r="I182" s="295" t="s">
        <v>1864</v>
      </c>
      <c r="J182" s="370" t="s">
        <v>2529</v>
      </c>
      <c r="K182" s="376" t="s">
        <v>1275</v>
      </c>
      <c r="L182" s="275">
        <v>669</v>
      </c>
      <c r="M182" s="293">
        <v>669</v>
      </c>
      <c r="N182" s="293">
        <v>669</v>
      </c>
      <c r="O182" s="10"/>
      <c r="P182" s="10"/>
    </row>
    <row r="183" spans="1:16" ht="12.75" customHeight="1" x14ac:dyDescent="0.3">
      <c r="A183">
        <f t="shared" si="2"/>
        <v>182</v>
      </c>
      <c r="B183" t="s">
        <v>255</v>
      </c>
      <c r="C183">
        <v>1</v>
      </c>
      <c r="D183">
        <v>244</v>
      </c>
      <c r="E183" s="2">
        <f>VLOOKUP( T_Aop[[#This Row],[Id]], T_Aop[], ID_Jezik +10, 1)</f>
        <v>56</v>
      </c>
      <c r="F183" t="str">
        <f>REPT( "  ", T_Aop[[#This Row],[Aop nivo]]) &amp; VLOOKUP( T_Aop[[#This Row],[Id]], T_Aop[], ID_Jezik + 6, 1)</f>
        <v xml:space="preserve">  II FINANCE EXPENSES (245 to 248)</v>
      </c>
      <c r="G183" s="281" t="s">
        <v>1195</v>
      </c>
      <c r="H183" s="288" t="s">
        <v>950</v>
      </c>
      <c r="I183" s="295" t="s">
        <v>2724</v>
      </c>
      <c r="J183" s="370" t="s">
        <v>2082</v>
      </c>
      <c r="K183" s="376" t="s">
        <v>1276</v>
      </c>
      <c r="L183" s="275">
        <v>56</v>
      </c>
      <c r="M183" s="293">
        <v>56</v>
      </c>
      <c r="N183" s="293">
        <v>56</v>
      </c>
      <c r="O183" s="10"/>
      <c r="P183" s="10"/>
    </row>
    <row r="184" spans="1:16" x14ac:dyDescent="0.3">
      <c r="A184">
        <f t="shared" si="2"/>
        <v>183</v>
      </c>
      <c r="B184" t="s">
        <v>255</v>
      </c>
      <c r="C184">
        <v>2</v>
      </c>
      <c r="D184">
        <v>245</v>
      </c>
      <c r="E184" s="2" t="str">
        <f>VLOOKUP( T_Aop[[#This Row],[Id]], T_Aop[], ID_Jezik +10, 1)</f>
        <v>560, 561</v>
      </c>
      <c r="F184" t="str">
        <f>REPT( "  ", T_Aop[[#This Row],[Aop nivo]]) &amp; VLOOKUP( T_Aop[[#This Row],[Id]], T_Aop[], ID_Jezik + 6, 1)</f>
        <v xml:space="preserve">    1. Interests expense</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3">
      <c r="A185">
        <f t="shared" si="2"/>
        <v>184</v>
      </c>
      <c r="B185" t="s">
        <v>255</v>
      </c>
      <c r="C185">
        <v>2</v>
      </c>
      <c r="D185">
        <v>246</v>
      </c>
      <c r="E185" s="2">
        <f>VLOOKUP( T_Aop[[#This Row],[Id]], T_Aop[], ID_Jezik +10, 1)</f>
        <v>562</v>
      </c>
      <c r="F185" t="str">
        <f>REPT( "  ", T_Aop[[#This Row],[Aop nivo]]) &amp; VLOOKUP( T_Aop[[#This Row],[Id]], T_Aop[], ID_Jezik + 6, 1)</f>
        <v xml:space="preserve">    2. Foreign exchange losses</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3">
      <c r="A186">
        <f t="shared" si="2"/>
        <v>185</v>
      </c>
      <c r="B186" t="s">
        <v>255</v>
      </c>
      <c r="C186">
        <v>2</v>
      </c>
      <c r="D186">
        <v>247</v>
      </c>
      <c r="E186" s="2">
        <f>VLOOKUP( T_Aop[[#This Row],[Id]], T_Aop[], ID_Jezik +10, 1)</f>
        <v>563</v>
      </c>
      <c r="F186" t="str">
        <f>REPT( "  ", T_Aop[[#This Row],[Aop nivo]]) &amp; VLOOKUP( T_Aop[[#This Row],[Id]], T_Aop[], ID_Jezik + 6, 1)</f>
        <v xml:space="preserve">    3. Currency clause expenses</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3">
      <c r="A187">
        <f t="shared" si="2"/>
        <v>186</v>
      </c>
      <c r="B187" t="s">
        <v>255</v>
      </c>
      <c r="C187">
        <v>2</v>
      </c>
      <c r="D187">
        <v>248</v>
      </c>
      <c r="E187" s="2">
        <f>VLOOKUP( T_Aop[[#This Row],[Id]], T_Aop[], ID_Jezik +10, 1)</f>
        <v>569</v>
      </c>
      <c r="F187" t="str">
        <f>REPT( "  ", T_Aop[[#This Row],[Aop nivo]]) &amp; VLOOKUP( T_Aop[[#This Row],[Id]], T_Aop[], ID_Jezik + 6, 1)</f>
        <v xml:space="preserve">    4. Other finance expense</v>
      </c>
      <c r="G187" s="288" t="s">
        <v>1246</v>
      </c>
      <c r="H187" s="288" t="s">
        <v>1242</v>
      </c>
      <c r="I187" s="295" t="s">
        <v>1868</v>
      </c>
      <c r="J187" s="370" t="s">
        <v>2530</v>
      </c>
      <c r="K187" s="376" t="s">
        <v>1279</v>
      </c>
      <c r="L187" s="275">
        <v>569</v>
      </c>
      <c r="M187" s="293">
        <v>569</v>
      </c>
      <c r="N187" s="293">
        <v>569</v>
      </c>
      <c r="O187" s="10">
        <v>1</v>
      </c>
      <c r="P187" s="10"/>
    </row>
    <row r="188" spans="1:16" ht="24" customHeight="1" x14ac:dyDescent="0.3">
      <c r="A188">
        <f t="shared" si="2"/>
        <v>187</v>
      </c>
      <c r="B188" t="s">
        <v>255</v>
      </c>
      <c r="C188">
        <v>1</v>
      </c>
      <c r="D188">
        <v>249</v>
      </c>
      <c r="E188" s="2">
        <f>VLOOKUP( T_Aop[[#This Row],[Id]], T_Aop[], ID_Jezik +10, 1)</f>
        <v>0</v>
      </c>
      <c r="F188" t="str">
        <f>REPT( "  ", T_Aop[[#This Row],[Aop nivo]]) &amp; VLOOKUP( T_Aop[[#This Row],[Id]], T_Aop[], ID_Jezik + 6, 1)</f>
        <v xml:space="preserve">  E. OPERATING INCOME (237 + 239 - 244) or (239 - 244 - 238)  </v>
      </c>
      <c r="G188" s="291" t="s">
        <v>2224</v>
      </c>
      <c r="H188" s="291" t="s">
        <v>2211</v>
      </c>
      <c r="I188" s="295" t="s">
        <v>2212</v>
      </c>
      <c r="J188" s="370" t="s">
        <v>2083</v>
      </c>
      <c r="K188" s="376"/>
      <c r="L188" s="275"/>
      <c r="M188" s="293"/>
      <c r="N188" s="293"/>
      <c r="O188" s="10">
        <v>1</v>
      </c>
      <c r="P188" s="10"/>
    </row>
    <row r="189" spans="1:16" ht="24" customHeight="1" x14ac:dyDescent="0.3">
      <c r="A189">
        <f t="shared" si="2"/>
        <v>188</v>
      </c>
      <c r="B189" t="s">
        <v>255</v>
      </c>
      <c r="C189">
        <v>1</v>
      </c>
      <c r="D189">
        <v>250</v>
      </c>
      <c r="E189" s="2">
        <f>VLOOKUP( T_Aop[[#This Row],[Id]], T_Aop[], ID_Jezik +10, 1)</f>
        <v>0</v>
      </c>
      <c r="F189" t="str">
        <f>REPT( "  ", T_Aop[[#This Row],[Aop nivo]]) &amp; VLOOKUP( T_Aop[[#This Row],[Id]], T_Aop[], ID_Jezik + 6, 1)</f>
        <v xml:space="preserve">  F. OPERATING LOSS  (238 + 244 -239) or (244-239-237)  </v>
      </c>
      <c r="G189" s="291" t="s">
        <v>2225</v>
      </c>
      <c r="H189" s="291" t="s">
        <v>2210</v>
      </c>
      <c r="I189" s="295" t="s">
        <v>2573</v>
      </c>
      <c r="J189" s="370" t="s">
        <v>2084</v>
      </c>
      <c r="K189" s="376"/>
      <c r="L189" s="275"/>
      <c r="M189" s="293"/>
      <c r="N189" s="293"/>
      <c r="O189" s="10"/>
      <c r="P189" s="10"/>
    </row>
    <row r="190" spans="1:16" ht="29.25" customHeight="1" x14ac:dyDescent="0.3">
      <c r="A190">
        <f t="shared" si="2"/>
        <v>189</v>
      </c>
      <c r="B190" t="s">
        <v>255</v>
      </c>
      <c r="C190">
        <v>1</v>
      </c>
      <c r="D190">
        <v>251</v>
      </c>
      <c r="E190" s="2">
        <f>VLOOKUP( T_Aop[[#This Row],[Id]], T_Aop[], ID_Jezik +10, 1)</f>
        <v>67</v>
      </c>
      <c r="F190" t="str">
        <f>REPT( "  ", T_Aop[[#This Row],[Aop nivo]]) &amp; VLOOKUP( T_Aop[[#This Row],[Id]], T_Aop[], ID_Jezik + 6, 1)</f>
        <v xml:space="preserve">  G. OTHER INCOME AND EXPENSES I OTHER INCOME AND GAINS (252 to 260)</v>
      </c>
      <c r="G190" s="291" t="s">
        <v>2913</v>
      </c>
      <c r="H190" s="288" t="s">
        <v>2763</v>
      </c>
      <c r="I190" s="295" t="s">
        <v>2764</v>
      </c>
      <c r="J190" s="370" t="s">
        <v>2572</v>
      </c>
      <c r="K190" s="376" t="s">
        <v>1280</v>
      </c>
      <c r="L190" s="275">
        <v>67</v>
      </c>
      <c r="M190" s="293">
        <v>67</v>
      </c>
      <c r="N190" s="293">
        <v>67</v>
      </c>
      <c r="O190" s="10"/>
      <c r="P190" s="10"/>
    </row>
    <row r="191" spans="1:16" ht="12.75" customHeight="1" x14ac:dyDescent="0.3">
      <c r="A191">
        <f t="shared" si="2"/>
        <v>190</v>
      </c>
      <c r="B191" t="s">
        <v>255</v>
      </c>
      <c r="C191">
        <v>2</v>
      </c>
      <c r="D191">
        <v>252</v>
      </c>
      <c r="E191" s="2" t="str">
        <f>VLOOKUP( T_Aop[[#This Row],[Id]], T_Aop[], ID_Jezik +10, 1)</f>
        <v>670, 570 Net amount</v>
      </c>
      <c r="F191" t="str">
        <f>REPT( "  ", T_Aop[[#This Row],[Aop nivo]]) &amp; VLOOKUP( T_Aop[[#This Row],[Id]], T_Aop[], ID_Jezik + 6, 1)</f>
        <v xml:space="preserve">    1. Net income from sale of intangible investments, real estates, plant and equipment</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3">
      <c r="A192">
        <f t="shared" si="2"/>
        <v>191</v>
      </c>
      <c r="B192" t="s">
        <v>255</v>
      </c>
      <c r="C192">
        <v>2</v>
      </c>
      <c r="D192">
        <v>253</v>
      </c>
      <c r="E192" s="2" t="str">
        <f>VLOOKUP( T_Aop[[#This Row],[Id]], T_Aop[], ID_Jezik +10, 1)</f>
        <v>671, 571 Net amount</v>
      </c>
      <c r="F192" t="str">
        <f>REPT( "  ", T_Aop[[#This Row],[Aop nivo]]) &amp; VLOOKUP( T_Aop[[#This Row],[Id]], T_Aop[], ID_Jezik + 6, 1)</f>
        <v xml:space="preserve">    2. Net income from sale of investment real estates</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3">
      <c r="A193">
        <f t="shared" si="2"/>
        <v>192</v>
      </c>
      <c r="B193" t="s">
        <v>255</v>
      </c>
      <c r="C193">
        <v>2</v>
      </c>
      <c r="D193">
        <v>254</v>
      </c>
      <c r="E193" s="2" t="str">
        <f>VLOOKUP( T_Aop[[#This Row],[Id]], T_Aop[], ID_Jezik +10, 1)</f>
        <v>672, 572 Net amount</v>
      </c>
      <c r="F193" t="str">
        <f>REPT( "  ", T_Aop[[#This Row],[Aop nivo]]) &amp; VLOOKUP( T_Aop[[#This Row],[Id]], T_Aop[], ID_Jezik + 6, 1)</f>
        <v xml:space="preserve">    3. Net income from sale of biological assets</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3">
      <c r="A194">
        <f t="shared" ref="A194:A257" si="3">ROW()-ROW($A$1)</f>
        <v>193</v>
      </c>
      <c r="B194" t="s">
        <v>255</v>
      </c>
      <c r="C194">
        <v>2</v>
      </c>
      <c r="D194">
        <v>255</v>
      </c>
      <c r="E194" s="2" t="str">
        <f>VLOOKUP( T_Aop[[#This Row],[Id]], T_Aop[], ID_Jezik +10, 1)</f>
        <v>673, 573, Net amount</v>
      </c>
      <c r="F194" t="str">
        <f>REPT( "  ", T_Aop[[#This Row],[Aop nivo]]) &amp; VLOOKUP( T_Aop[[#This Row],[Id]], T_Aop[], ID_Jezik + 6, 1)</f>
        <v xml:space="preserve">    4. Net income from sale of fixed assets for sale and discontinued operations assets</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3">
      <c r="A195">
        <f t="shared" si="3"/>
        <v>194</v>
      </c>
      <c r="B195" t="s">
        <v>255</v>
      </c>
      <c r="C195">
        <v>2</v>
      </c>
      <c r="D195">
        <v>256</v>
      </c>
      <c r="E195" s="2" t="str">
        <f>VLOOKUP( T_Aop[[#This Row],[Id]], T_Aop[], ID_Jezik +10, 1)</f>
        <v>674, 574 Net amount</v>
      </c>
      <c r="F195" t="str">
        <f>REPT( "  ", T_Aop[[#This Row],[Aop nivo]]) &amp; VLOOKUP( T_Aop[[#This Row],[Id]], T_Aop[], ID_Jezik + 6, 1)</f>
        <v xml:space="preserve">    5. Net income from sale of financial assets and investments in related legal entities</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3">
      <c r="A196">
        <f t="shared" si="3"/>
        <v>195</v>
      </c>
      <c r="B196" t="s">
        <v>255</v>
      </c>
      <c r="C196">
        <v>2</v>
      </c>
      <c r="D196">
        <v>257</v>
      </c>
      <c r="E196" s="2" t="str">
        <f>VLOOKUP( T_Aop[[#This Row],[Id]], T_Aop[], ID_Jezik +10, 1)</f>
        <v>675, 575 Net amount</v>
      </c>
      <c r="F196" t="str">
        <f>REPT( "  ", T_Aop[[#This Row],[Aop nivo]]) &amp; VLOOKUP( T_Aop[[#This Row],[Id]], T_Aop[], ID_Jezik + 6, 1)</f>
        <v xml:space="preserve">    6. Net income from sale of materials</v>
      </c>
      <c r="G196" s="288" t="s">
        <v>1568</v>
      </c>
      <c r="H196" s="288" t="s">
        <v>1572</v>
      </c>
      <c r="I196" s="295" t="s">
        <v>1874</v>
      </c>
      <c r="J196" s="370" t="s">
        <v>2847</v>
      </c>
      <c r="K196" s="376" t="s">
        <v>1286</v>
      </c>
      <c r="L196" s="275" t="s">
        <v>1153</v>
      </c>
      <c r="M196" s="293" t="s">
        <v>1930</v>
      </c>
      <c r="N196" s="293" t="s">
        <v>2314</v>
      </c>
      <c r="O196" s="10"/>
      <c r="P196" s="10"/>
    </row>
    <row r="197" spans="1:16" x14ac:dyDescent="0.3">
      <c r="A197">
        <f t="shared" si="3"/>
        <v>196</v>
      </c>
      <c r="B197" t="s">
        <v>255</v>
      </c>
      <c r="C197">
        <v>2</v>
      </c>
      <c r="D197">
        <v>258</v>
      </c>
      <c r="E197" s="2">
        <f>VLOOKUP( T_Aop[[#This Row],[Id]], T_Aop[], ID_Jezik +10, 1)</f>
        <v>676</v>
      </c>
      <c r="F197" t="str">
        <f>REPT( "  ", T_Aop[[#This Row],[Aop nivo]]) &amp; VLOOKUP( T_Aop[[#This Row],[Id]], T_Aop[], ID_Jezik + 6, 1)</f>
        <v xml:space="preserve">    7. Surpluses</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3">
      <c r="A198">
        <f t="shared" si="3"/>
        <v>197</v>
      </c>
      <c r="B198" t="s">
        <v>255</v>
      </c>
      <c r="C198">
        <v>2</v>
      </c>
      <c r="D198">
        <v>259</v>
      </c>
      <c r="E198" s="2" t="str">
        <f>VLOOKUP( T_Aop[[#This Row],[Id]], T_Aop[], ID_Jezik +10, 1)</f>
        <v>677, 679</v>
      </c>
      <c r="F198" t="str">
        <f>REPT( "  ", T_Aop[[#This Row],[Aop nivo]]) &amp; VLOOKUP( T_Aop[[#This Row],[Id]], T_Aop[], ID_Jezik + 6, 1)</f>
        <v xml:space="preserve">    8. Other incomes and gains</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3">
      <c r="A199">
        <f t="shared" si="3"/>
        <v>198</v>
      </c>
      <c r="B199" t="s">
        <v>255</v>
      </c>
      <c r="C199">
        <v>2</v>
      </c>
      <c r="D199">
        <v>260</v>
      </c>
      <c r="E199" s="2" t="str">
        <f>VLOOKUP( T_Aop[[#This Row],[Id]], T_Aop[], ID_Jezik +10, 1)</f>
        <v>678, 577</v>
      </c>
      <c r="F199" t="str">
        <f>REPT( "  ", T_Aop[[#This Row],[Aop nivo]]) &amp; VLOOKUP( T_Aop[[#This Row],[Id]], T_Aop[], ID_Jezik + 6, 1)</f>
        <v xml:space="preserve">    9. Net income form derivative financial instruments</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3">
      <c r="A200">
        <f t="shared" si="3"/>
        <v>199</v>
      </c>
      <c r="B200" t="s">
        <v>255</v>
      </c>
      <c r="C200">
        <v>1</v>
      </c>
      <c r="D200">
        <v>261</v>
      </c>
      <c r="E200" s="2">
        <f>VLOOKUP( T_Aop[[#This Row],[Id]], T_Aop[], ID_Jezik +10, 1)</f>
        <v>57</v>
      </c>
      <c r="F200" t="str">
        <f>REPT( "  ", T_Aop[[#This Row],[Aop nivo]]) &amp; VLOOKUP( T_Aop[[#This Row],[Id]], T_Aop[], ID_Jezik + 6, 1)</f>
        <v xml:space="preserve">  II OTHER EXPENSES AND LOSSES (262 to 270)</v>
      </c>
      <c r="G200" s="288" t="s">
        <v>1196</v>
      </c>
      <c r="H200" s="288" t="s">
        <v>951</v>
      </c>
      <c r="I200" s="295" t="s">
        <v>2787</v>
      </c>
      <c r="J200" s="370" t="s">
        <v>2085</v>
      </c>
      <c r="K200" s="376" t="s">
        <v>1288</v>
      </c>
      <c r="L200" s="275">
        <v>57</v>
      </c>
      <c r="M200" s="293">
        <v>57</v>
      </c>
      <c r="N200" s="293">
        <v>57</v>
      </c>
      <c r="O200" s="10"/>
      <c r="P200" s="10"/>
    </row>
    <row r="201" spans="1:16" ht="12.75" customHeight="1" x14ac:dyDescent="0.3">
      <c r="A201">
        <f t="shared" si="3"/>
        <v>200</v>
      </c>
      <c r="B201" t="s">
        <v>255</v>
      </c>
      <c r="C201">
        <v>2</v>
      </c>
      <c r="D201">
        <v>262</v>
      </c>
      <c r="E201" s="2" t="str">
        <f>VLOOKUP( T_Aop[[#This Row],[Id]], T_Aop[], ID_Jezik +10, 1)</f>
        <v>570, 670 Net amount</v>
      </c>
      <c r="F201" t="str">
        <f>REPT( "  ", T_Aop[[#This Row],[Aop nivo]]) &amp; VLOOKUP( T_Aop[[#This Row],[Id]], T_Aop[], ID_Jezik + 6, 1)</f>
        <v xml:space="preserve">    1. Net losses arising from disposal of intangible assets, real estates, plants and equipment</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3">
      <c r="A202">
        <f t="shared" si="3"/>
        <v>201</v>
      </c>
      <c r="B202" t="s">
        <v>255</v>
      </c>
      <c r="C202">
        <v>2</v>
      </c>
      <c r="D202">
        <v>263</v>
      </c>
      <c r="E202" s="2" t="str">
        <f>VLOOKUP( T_Aop[[#This Row],[Id]], T_Aop[], ID_Jezik +10, 1)</f>
        <v>571, 671 Net amount</v>
      </c>
      <c r="F202" t="str">
        <f>REPT( "  ", T_Aop[[#This Row],[Aop nivo]]) &amp; VLOOKUP( T_Aop[[#This Row],[Id]], T_Aop[], ID_Jezik + 6, 1)</f>
        <v xml:space="preserve">    2. Net losses arising from disposal of investment property</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3">
      <c r="A203">
        <f t="shared" si="3"/>
        <v>202</v>
      </c>
      <c r="B203" t="s">
        <v>255</v>
      </c>
      <c r="C203">
        <v>2</v>
      </c>
      <c r="D203">
        <v>264</v>
      </c>
      <c r="E203" s="2" t="str">
        <f>VLOOKUP( T_Aop[[#This Row],[Id]], T_Aop[], ID_Jezik +10, 1)</f>
        <v>572, 672 Net amount</v>
      </c>
      <c r="F203" t="str">
        <f>REPT( "  ", T_Aop[[#This Row],[Aop nivo]]) &amp; VLOOKUP( T_Aop[[#This Row],[Id]], T_Aop[], ID_Jezik + 6, 1)</f>
        <v xml:space="preserve">    3. Net losses arising from disposal of biological assets</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3">
      <c r="A204">
        <f t="shared" si="3"/>
        <v>203</v>
      </c>
      <c r="B204" t="s">
        <v>255</v>
      </c>
      <c r="C204">
        <v>2</v>
      </c>
      <c r="D204">
        <v>265</v>
      </c>
      <c r="E204" s="2" t="str">
        <f>VLOOKUP( T_Aop[[#This Row],[Id]], T_Aop[], ID_Jezik +10, 1)</f>
        <v>573, 673, Net amount</v>
      </c>
      <c r="F204" t="str">
        <f>REPT( "  ", T_Aop[[#This Row],[Aop nivo]]) &amp; VLOOKUP( T_Aop[[#This Row],[Id]], T_Aop[], ID_Jezik + 6, 1)</f>
        <v xml:space="preserve">    4. Net losses arising from disposal of fixed assets for sale and discontinued operations assets</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3">
      <c r="A205">
        <f t="shared" si="3"/>
        <v>204</v>
      </c>
      <c r="B205" t="s">
        <v>255</v>
      </c>
      <c r="C205">
        <v>2</v>
      </c>
      <c r="D205">
        <v>266</v>
      </c>
      <c r="E205" s="2" t="str">
        <f>VLOOKUP( T_Aop[[#This Row],[Id]], T_Aop[], ID_Jezik +10, 1)</f>
        <v>574, 674 Net amount</v>
      </c>
      <c r="F205" t="str">
        <f>REPT( "  ", T_Aop[[#This Row],[Aop nivo]]) &amp; VLOOKUP( T_Aop[[#This Row],[Id]], T_Aop[], ID_Jezik + 6, 1)</f>
        <v xml:space="preserve">    5. Net losses from disposal of financial assets and investments in releted legal entities</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3">
      <c r="A206">
        <f t="shared" si="3"/>
        <v>205</v>
      </c>
      <c r="B206" t="s">
        <v>255</v>
      </c>
      <c r="C206">
        <v>2</v>
      </c>
      <c r="D206">
        <v>267</v>
      </c>
      <c r="E206" s="2" t="str">
        <f>VLOOKUP( T_Aop[[#This Row],[Id]], T_Aop[], ID_Jezik +10, 1)</f>
        <v>575, 675 Net amount</v>
      </c>
      <c r="F206" t="str">
        <f>REPT( "  ", T_Aop[[#This Row],[Aop nivo]]) &amp; VLOOKUP( T_Aop[[#This Row],[Id]], T_Aop[], ID_Jezik + 6, 1)</f>
        <v xml:space="preserve">    6. Net losses from sale of materials</v>
      </c>
      <c r="G206" s="288" t="s">
        <v>1533</v>
      </c>
      <c r="H206" s="288" t="s">
        <v>1523</v>
      </c>
      <c r="I206" s="295" t="s">
        <v>1883</v>
      </c>
      <c r="J206" s="370" t="s">
        <v>2857</v>
      </c>
      <c r="K206" s="376" t="s">
        <v>1294</v>
      </c>
      <c r="L206" s="275" t="s">
        <v>1161</v>
      </c>
      <c r="M206" s="293" t="s">
        <v>1936</v>
      </c>
      <c r="N206" s="293" t="s">
        <v>2320</v>
      </c>
      <c r="O206" s="10"/>
      <c r="P206" s="10"/>
    </row>
    <row r="207" spans="1:16" x14ac:dyDescent="0.3">
      <c r="A207">
        <f t="shared" si="3"/>
        <v>206</v>
      </c>
      <c r="B207" t="s">
        <v>255</v>
      </c>
      <c r="C207">
        <v>2</v>
      </c>
      <c r="D207">
        <v>268</v>
      </c>
      <c r="E207" s="2">
        <f>VLOOKUP( T_Aop[[#This Row],[Id]], T_Aop[], ID_Jezik +10, 1)</f>
        <v>576</v>
      </c>
      <c r="F207" t="str">
        <f>REPT( "  ", T_Aop[[#This Row],[Aop nivo]]) &amp; VLOOKUP( T_Aop[[#This Row],[Id]], T_Aop[], ID_Jezik + 6, 1)</f>
        <v xml:space="preserve">    7. Deficits</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3">
      <c r="A208">
        <f t="shared" si="3"/>
        <v>207</v>
      </c>
      <c r="B208" t="s">
        <v>255</v>
      </c>
      <c r="C208">
        <v>2</v>
      </c>
      <c r="D208">
        <v>269</v>
      </c>
      <c r="E208" s="2" t="str">
        <f>VLOOKUP( T_Aop[[#This Row],[Id]], T_Aop[], ID_Jezik +10, 1)</f>
        <v>577, 678 Net amount</v>
      </c>
      <c r="F208" t="str">
        <f>REPT( "  ", T_Aop[[#This Row],[Aop nivo]]) &amp; VLOOKUP( T_Aop[[#This Row],[Id]], T_Aop[], ID_Jezik + 6, 1)</f>
        <v xml:space="preserve">    8. Net lossed from derivative financial instruments</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3">
      <c r="A209">
        <f t="shared" si="3"/>
        <v>208</v>
      </c>
      <c r="B209" t="s">
        <v>255</v>
      </c>
      <c r="C209">
        <v>2</v>
      </c>
      <c r="D209">
        <v>270</v>
      </c>
      <c r="E209" s="2" t="str">
        <f>VLOOKUP( T_Aop[[#This Row],[Id]], T_Aop[], ID_Jezik +10, 1)</f>
        <v>578, 579</v>
      </c>
      <c r="F209" t="str">
        <f>REPT( "  ", T_Aop[[#This Row],[Aop nivo]]) &amp; VLOOKUP( T_Aop[[#This Row],[Id]], T_Aop[], ID_Jezik + 6, 1)</f>
        <v xml:space="preserve">    9. Other expenses and losses</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3">
      <c r="A210">
        <f t="shared" si="3"/>
        <v>209</v>
      </c>
      <c r="B210" t="s">
        <v>255</v>
      </c>
      <c r="C210">
        <v>1</v>
      </c>
      <c r="D210">
        <v>271</v>
      </c>
      <c r="E210" s="2">
        <f>VLOOKUP( T_Aop[[#This Row],[Id]], T_Aop[], ID_Jezik +10, 1)</f>
        <v>0</v>
      </c>
      <c r="F210" t="str">
        <f>REPT( "  ", T_Aop[[#This Row],[Aop nivo]]) &amp; VLOOKUP( T_Aop[[#This Row],[Id]], T_Aop[], ID_Jezik + 6, 1)</f>
        <v xml:space="preserve">  H. GAIN FROM OTHER INCOMES AND EXPENSES (251 - 261)</v>
      </c>
      <c r="G210" s="281" t="s">
        <v>1197</v>
      </c>
      <c r="H210" s="288" t="s">
        <v>952</v>
      </c>
      <c r="I210" s="295" t="s">
        <v>1887</v>
      </c>
      <c r="J210" s="370" t="s">
        <v>2086</v>
      </c>
      <c r="K210" s="376"/>
      <c r="L210" s="275"/>
      <c r="M210" s="293"/>
      <c r="N210" s="293"/>
      <c r="O210" s="10">
        <v>1</v>
      </c>
      <c r="P210" s="10"/>
    </row>
    <row r="211" spans="1:16" ht="12.75" customHeight="1" x14ac:dyDescent="0.3">
      <c r="A211">
        <f t="shared" si="3"/>
        <v>210</v>
      </c>
      <c r="B211" t="s">
        <v>255</v>
      </c>
      <c r="C211">
        <v>1</v>
      </c>
      <c r="D211">
        <v>272</v>
      </c>
      <c r="E211" s="2">
        <f>VLOOKUP( T_Aop[[#This Row],[Id]], T_Aop[], ID_Jezik +10, 1)</f>
        <v>0</v>
      </c>
      <c r="F211" t="str">
        <f>REPT( "  ", T_Aop[[#This Row],[Aop nivo]]) &amp; VLOOKUP( T_Aop[[#This Row],[Id]], T_Aop[], ID_Jezik + 6, 1)</f>
        <v xml:space="preserve">  I. LOSS FROM OTHER INCOMES AND EXPENSES (261 - 251)</v>
      </c>
      <c r="G211" s="281" t="s">
        <v>1198</v>
      </c>
      <c r="H211" s="288" t="s">
        <v>953</v>
      </c>
      <c r="I211" s="295" t="s">
        <v>1888</v>
      </c>
      <c r="J211" s="370" t="s">
        <v>2087</v>
      </c>
      <c r="K211" s="376"/>
      <c r="L211" s="275"/>
      <c r="M211" s="293"/>
      <c r="N211" s="293"/>
      <c r="O211" s="10">
        <v>1</v>
      </c>
      <c r="P211" s="10"/>
    </row>
    <row r="212" spans="1:16" ht="12.75" customHeight="1" x14ac:dyDescent="0.3">
      <c r="A212">
        <f t="shared" si="3"/>
        <v>211</v>
      </c>
      <c r="B212" t="s">
        <v>255</v>
      </c>
      <c r="C212">
        <v>1</v>
      </c>
      <c r="D212">
        <v>273</v>
      </c>
      <c r="E212" s="2">
        <f>VLOOKUP( T_Aop[[#This Row],[Id]], T_Aop[], ID_Jezik +10, 1)</f>
        <v>68</v>
      </c>
      <c r="F212" t="str">
        <f>REPT( "  ", T_Aop[[#This Row],[Aop nivo]]) &amp; VLOOKUP( T_Aop[[#This Row],[Id]], T_Aop[], ID_Jezik + 6, 1)</f>
        <v xml:space="preserve">  J. INCOME AND LOSSES FROM REVALUATION OF PROPERTY VALUE 
I INCOME FROM REVALUATION OF PROPERTY VALUE (274+281)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3">
      <c r="A213">
        <f t="shared" si="3"/>
        <v>212</v>
      </c>
      <c r="B213" t="s">
        <v>255</v>
      </c>
      <c r="C213">
        <v>2</v>
      </c>
      <c r="D213">
        <v>274</v>
      </c>
      <c r="E213" s="2" t="str">
        <f>VLOOKUP( T_Aop[[#This Row],[Id]], T_Aop[], ID_Jezik +10, 1)</f>
        <v>part 68</v>
      </c>
      <c r="F213" t="str">
        <f>REPT( "  ", T_Aop[[#This Row],[Aop nivo]]) &amp; VLOOKUP( T_Aop[[#This Row],[Id]], T_Aop[], ID_Jezik + 6, 1)</f>
        <v xml:space="preserve">    1. Net income from revaluation of assets (except financial) (275 to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3">
      <c r="A214">
        <f t="shared" si="3"/>
        <v>213</v>
      </c>
      <c r="B214" t="s">
        <v>255</v>
      </c>
      <c r="C214">
        <v>3</v>
      </c>
      <c r="D214">
        <v>275</v>
      </c>
      <c r="E214" s="2" t="str">
        <f>VLOOKUP( T_Aop[[#This Row],[Id]], T_Aop[], ID_Jezik +10, 1)</f>
        <v>680, 580 Net amount</v>
      </c>
      <c r="F214" t="str">
        <f>REPT( "  ", T_Aop[[#This Row],[Aop nivo]]) &amp; VLOOKUP( T_Aop[[#This Row],[Id]], T_Aop[], ID_Jezik + 6, 1)</f>
        <v xml:space="preserve">      1.1. Net income from decrease of earlier recognized losses due to the impairment of intangible assets</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3">
      <c r="A215">
        <f t="shared" si="3"/>
        <v>214</v>
      </c>
      <c r="B215" t="s">
        <v>255</v>
      </c>
      <c r="C215">
        <v>3</v>
      </c>
      <c r="D215">
        <v>276</v>
      </c>
      <c r="E215" s="2" t="str">
        <f>VLOOKUP( T_Aop[[#This Row],[Id]], T_Aop[], ID_Jezik +10, 1)</f>
        <v>681, 581 Net amount</v>
      </c>
      <c r="F215" t="str">
        <f>REPT( "  ", T_Aop[[#This Row],[Aop nivo]]) &amp; VLOOKUP( T_Aop[[#This Row],[Id]], T_Aop[], ID_Jezik + 6, 1)</f>
        <v xml:space="preserve">      1.2. Net income from decrease of earlier recognized losses due to the impairment of real estates, plant and equipment</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3">
      <c r="A216">
        <f t="shared" si="3"/>
        <v>215</v>
      </c>
      <c r="B216" t="s">
        <v>255</v>
      </c>
      <c r="C216">
        <v>3</v>
      </c>
      <c r="D216">
        <v>277</v>
      </c>
      <c r="E216" s="2" t="str">
        <f>VLOOKUP( T_Aop[[#This Row],[Id]], T_Aop[], ID_Jezik +10, 1)</f>
        <v>682, 582 Net amount</v>
      </c>
      <c r="F216" t="str">
        <f>REPT( "  ", T_Aop[[#This Row],[Aop nivo]]) &amp; VLOOKUP( T_Aop[[#This Row],[Id]], T_Aop[], ID_Jezik + 6, 1)</f>
        <v xml:space="preserve">      1.3. Net income from decrease of earlier recognized losses due to the impairment of investment property which are valued at cost price</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3">
      <c r="A217">
        <f t="shared" si="3"/>
        <v>216</v>
      </c>
      <c r="B217" t="s">
        <v>255</v>
      </c>
      <c r="C217">
        <v>3</v>
      </c>
      <c r="D217">
        <v>278</v>
      </c>
      <c r="E217" s="2" t="str">
        <f>VLOOKUP( T_Aop[[#This Row],[Id]], T_Aop[], ID_Jezik +10, 1)</f>
        <v>683, 583 Net amount</v>
      </c>
      <c r="F217" t="str">
        <f>REPT( "  ", T_Aop[[#This Row],[Aop nivo]]) &amp; VLOOKUP( T_Aop[[#This Row],[Id]], T_Aop[], ID_Jezik + 6, 1)</f>
        <v xml:space="preserve">      1.4. Net income from decrease of earlier recognized losses due to the impairment of biological assets which are valued at cost price</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3">
      <c r="A218">
        <f t="shared" si="3"/>
        <v>217</v>
      </c>
      <c r="B218" t="s">
        <v>255</v>
      </c>
      <c r="C218">
        <v>3</v>
      </c>
      <c r="D218">
        <v>279</v>
      </c>
      <c r="E218" s="2" t="str">
        <f>VLOOKUP( T_Aop[[#This Row],[Id]], T_Aop[], ID_Jezik +10, 1)</f>
        <v>685, 585 Net amount</v>
      </c>
      <c r="F218" t="str">
        <f>REPT( "  ", T_Aop[[#This Row],[Aop nivo]]) &amp; VLOOKUP( T_Aop[[#This Row],[Id]], T_Aop[], ID_Jezik + 6, 1)</f>
        <v xml:space="preserve">      1.5. Net income from revaluation inventories of material and goods</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3">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Net income from revaluation of fixed assest for sale, discontinued operations assets and other non-financial  assets</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3">
      <c r="A220">
        <f t="shared" si="3"/>
        <v>219</v>
      </c>
      <c r="B220" t="s">
        <v>255</v>
      </c>
      <c r="C220">
        <v>2</v>
      </c>
      <c r="D220">
        <v>281</v>
      </c>
      <c r="E220" s="2" t="str">
        <f>VLOOKUP( T_Aop[[#This Row],[Id]], T_Aop[], ID_Jezik +10, 1)</f>
        <v>part 69</v>
      </c>
      <c r="F220" t="str">
        <f>REPT( "  ", T_Aop[[#This Row],[Aop nivo]]) &amp; VLOOKUP( T_Aop[[#This Row],[Id]], T_Aop[], ID_Jezik + 6, 1)</f>
        <v xml:space="preserve">    2. Net income from revaluation of financial assets (282 to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3">
      <c r="A221">
        <f t="shared" si="3"/>
        <v>220</v>
      </c>
      <c r="B221" t="s">
        <v>255</v>
      </c>
      <c r="C221">
        <v>3</v>
      </c>
      <c r="D221">
        <v>282</v>
      </c>
      <c r="E221" s="2" t="str">
        <f>VLOOKUP( T_Aop[[#This Row],[Id]], T_Aop[], ID_Jezik +10, 1)</f>
        <v>684, 584 Net amount</v>
      </c>
      <c r="F221" t="str">
        <f>REPT( "  ", T_Aop[[#This Row],[Aop nivo]]) &amp; VLOOKUP( T_Aop[[#This Row],[Id]], T_Aop[], ID_Jezik + 6, 1)</f>
        <v xml:space="preserve">      2.1 Net income from revaluation of long-term financial assets</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3">
      <c r="A222">
        <f t="shared" si="3"/>
        <v>221</v>
      </c>
      <c r="B222" t="s">
        <v>255</v>
      </c>
      <c r="C222">
        <v>3</v>
      </c>
      <c r="D222">
        <v>283</v>
      </c>
      <c r="E222" s="2" t="str">
        <f>VLOOKUP( T_Aop[[#This Row],[Id]], T_Aop[], ID_Jezik +10, 1)</f>
        <v>686, 585 Net amount</v>
      </c>
      <c r="F222" t="str">
        <f>REPT( "  ", T_Aop[[#This Row],[Aop nivo]]) &amp; VLOOKUP( T_Aop[[#This Row],[Id]], T_Aop[], ID_Jezik + 6, 1)</f>
        <v xml:space="preserve">      2.2 Net income from revaluation of short-term financial assets (except custumers receivables)</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3">
      <c r="A223">
        <f t="shared" si="3"/>
        <v>222</v>
      </c>
      <c r="B223" t="s">
        <v>255</v>
      </c>
      <c r="C223">
        <v>3</v>
      </c>
      <c r="D223">
        <v>284</v>
      </c>
      <c r="E223" s="2" t="str">
        <f>VLOOKUP( T_Aop[[#This Row],[Id]], T_Aop[], ID_Jezik +10, 1)</f>
        <v>687, 587 Net amount</v>
      </c>
      <c r="F223" t="str">
        <f>REPT( "  ", T_Aop[[#This Row],[Aop nivo]]) &amp; VLOOKUP( T_Aop[[#This Row],[Id]], T_Aop[], ID_Jezik + 6, 1)</f>
        <v xml:space="preserve">      2.3 Net income form decrease of earlier recognized loans losses due to the impairment of customers receivables</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3">
      <c r="A224">
        <f t="shared" si="3"/>
        <v>223</v>
      </c>
      <c r="B224" t="s">
        <v>255</v>
      </c>
      <c r="C224">
        <v>3</v>
      </c>
      <c r="D224">
        <v>285</v>
      </c>
      <c r="E224" s="2" t="str">
        <f>VLOOKUP( T_Aop[[#This Row],[Id]], T_Aop[], ID_Jezik +10, 1)</f>
        <v>part 689, part 589 Net amount</v>
      </c>
      <c r="F224" t="str">
        <f>REPT( "  ", T_Aop[[#This Row],[Aop nivo]]) &amp; VLOOKUP( T_Aop[[#This Row],[Id]], T_Aop[], ID_Jezik + 6, 1)</f>
        <v xml:space="preserve">      2.4 Net income from revaluation of other financial assets</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3">
      <c r="A225">
        <f t="shared" si="3"/>
        <v>224</v>
      </c>
      <c r="B225" t="s">
        <v>255</v>
      </c>
      <c r="C225">
        <v>1</v>
      </c>
      <c r="D225">
        <v>286</v>
      </c>
      <c r="E225" s="2">
        <f>VLOOKUP( T_Aop[[#This Row],[Id]], T_Aop[], ID_Jezik +10, 1)</f>
        <v>58</v>
      </c>
      <c r="F225" t="str">
        <f>REPT( "  ", T_Aop[[#This Row],[Aop nivo]]) &amp; VLOOKUP( T_Aop[[#This Row],[Id]], T_Aop[], ID_Jezik + 6, 1)</f>
        <v xml:space="preserve">  II EXPENSES FROM REVALUATION OF PROPERTY VALUE (287 + 294)</v>
      </c>
      <c r="G225" s="281" t="s">
        <v>2766</v>
      </c>
      <c r="H225" s="56" t="s">
        <v>955</v>
      </c>
      <c r="I225" s="295" t="s">
        <v>2788</v>
      </c>
      <c r="J225" s="370" t="s">
        <v>2088</v>
      </c>
      <c r="K225" s="376" t="s">
        <v>1302</v>
      </c>
      <c r="L225" s="275">
        <v>58</v>
      </c>
      <c r="M225" s="293">
        <v>58</v>
      </c>
      <c r="N225" s="293">
        <v>58</v>
      </c>
      <c r="O225" s="10"/>
      <c r="P225" s="10"/>
    </row>
    <row r="226" spans="1:16" ht="12.75" customHeight="1" x14ac:dyDescent="0.3">
      <c r="A226">
        <f t="shared" si="3"/>
        <v>225</v>
      </c>
      <c r="B226" t="s">
        <v>255</v>
      </c>
      <c r="C226">
        <v>2</v>
      </c>
      <c r="D226">
        <v>287</v>
      </c>
      <c r="E226" s="2">
        <f>VLOOKUP( T_Aop[[#This Row],[Id]], T_Aop[], ID_Jezik +10, 1)</f>
        <v>0</v>
      </c>
      <c r="F226" t="str">
        <f>REPT( "  ", T_Aop[[#This Row],[Aop nivo]]) &amp; VLOOKUP( T_Aop[[#This Row],[Id]], T_Aop[], ID_Jezik + 6, 1)</f>
        <v xml:space="preserve">    1. Expenses from revaluation of assets (except financial assets) (288 to 293)</v>
      </c>
      <c r="G226" s="288" t="s">
        <v>1553</v>
      </c>
      <c r="H226" s="56" t="s">
        <v>1500</v>
      </c>
      <c r="I226" s="295" t="s">
        <v>1895</v>
      </c>
      <c r="J226" s="370" t="s">
        <v>2543</v>
      </c>
      <c r="K226" s="376"/>
      <c r="L226" s="275"/>
      <c r="M226" s="293"/>
      <c r="N226" s="293"/>
      <c r="O226" s="10"/>
      <c r="P226" s="10"/>
    </row>
    <row r="227" spans="1:16" ht="12.75" customHeight="1" x14ac:dyDescent="0.3">
      <c r="A227">
        <f t="shared" si="3"/>
        <v>226</v>
      </c>
      <c r="B227" t="s">
        <v>255</v>
      </c>
      <c r="C227">
        <v>3</v>
      </c>
      <c r="D227">
        <v>288</v>
      </c>
      <c r="E227" s="2" t="str">
        <f>VLOOKUP( T_Aop[[#This Row],[Id]], T_Aop[], ID_Jezik +10, 1)</f>
        <v>580, 680</v>
      </c>
      <c r="F227" t="str">
        <f>REPT( "  ", T_Aop[[#This Row],[Aop nivo]]) &amp; VLOOKUP( T_Aop[[#This Row],[Id]], T_Aop[], ID_Jezik + 6, 1)</f>
        <v xml:space="preserve">      1.1. Net losses due to the impairment of intangible assests</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3">
      <c r="A228">
        <f t="shared" si="3"/>
        <v>227</v>
      </c>
      <c r="B228" t="s">
        <v>255</v>
      </c>
      <c r="C228">
        <v>3</v>
      </c>
      <c r="D228">
        <v>289</v>
      </c>
      <c r="E228" s="2" t="str">
        <f>VLOOKUP( T_Aop[[#This Row],[Id]], T_Aop[], ID_Jezik +10, 1)</f>
        <v>581, 681 Net amount</v>
      </c>
      <c r="F228" t="str">
        <f>REPT( "  ", T_Aop[[#This Row],[Aop nivo]]) &amp; VLOOKUP( T_Aop[[#This Row],[Id]], T_Aop[], ID_Jezik + 6, 1)</f>
        <v xml:space="preserve">      1.2. Net losses due to the impairment of real estates, plant and equipment</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3">
      <c r="A229">
        <f t="shared" si="3"/>
        <v>228</v>
      </c>
      <c r="B229" t="s">
        <v>255</v>
      </c>
      <c r="C229">
        <v>3</v>
      </c>
      <c r="D229">
        <v>290</v>
      </c>
      <c r="E229" s="2" t="str">
        <f>VLOOKUP( T_Aop[[#This Row],[Id]], T_Aop[], ID_Jezik +10, 1)</f>
        <v>582, 682 Net amount</v>
      </c>
      <c r="F229" t="str">
        <f>REPT( "  ", T_Aop[[#This Row],[Aop nivo]]) &amp; VLOOKUP( T_Aop[[#This Row],[Id]], T_Aop[], ID_Jezik + 6, 1)</f>
        <v xml:space="preserve">      1.3. Net losses due to the impairment of investment real estates which are valued at cost price</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3">
      <c r="A230">
        <f t="shared" si="3"/>
        <v>229</v>
      </c>
      <c r="B230" t="s">
        <v>255</v>
      </c>
      <c r="C230">
        <v>3</v>
      </c>
      <c r="D230">
        <v>291</v>
      </c>
      <c r="E230" s="2" t="str">
        <f>VLOOKUP( T_Aop[[#This Row],[Id]], T_Aop[], ID_Jezik +10, 1)</f>
        <v>583, 683 Net amount</v>
      </c>
      <c r="F230" t="str">
        <f>REPT( "  ", T_Aop[[#This Row],[Aop nivo]]) &amp; VLOOKUP( T_Aop[[#This Row],[Id]], T_Aop[], ID_Jezik + 6, 1)</f>
        <v xml:space="preserve">      1.4. Net losses due to the impairment of biological assets valued which are valued at cost price</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3">
      <c r="A231">
        <f t="shared" si="3"/>
        <v>230</v>
      </c>
      <c r="B231" t="s">
        <v>255</v>
      </c>
      <c r="C231">
        <v>3</v>
      </c>
      <c r="D231">
        <v>292</v>
      </c>
      <c r="E231" s="2" t="str">
        <f>VLOOKUP( T_Aop[[#This Row],[Id]], T_Aop[], ID_Jezik +10, 1)</f>
        <v>585, 685 Net amount</v>
      </c>
      <c r="F231" t="str">
        <f>REPT( "  ", T_Aop[[#This Row],[Aop nivo]]) &amp; VLOOKUP( T_Aop[[#This Row],[Id]], T_Aop[], ID_Jezik + 6, 1)</f>
        <v xml:space="preserve">      1.5. Net losses due to the revaluation of inventories of materials and goods</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3">
      <c r="A232">
        <f t="shared" si="3"/>
        <v>231</v>
      </c>
      <c r="B232" t="s">
        <v>255</v>
      </c>
      <c r="C232">
        <v>3</v>
      </c>
      <c r="D232">
        <v>293</v>
      </c>
      <c r="E232" s="2" t="str">
        <f>VLOOKUP( T_Aop[[#This Row],[Id]], T_Aop[], ID_Jezik +10, 1)</f>
        <v>588, part 589, 688, part 690</v>
      </c>
      <c r="F232" t="str">
        <f>REPT( "  ", T_Aop[[#This Row],[Aop nivo]]) &amp; VLOOKUP( T_Aop[[#This Row],[Id]], T_Aop[], ID_Jezik + 6, 1)</f>
        <v xml:space="preserve">      1.6. Net losses from revaluation of fixed assest for sale, discontinued operations assets and other non-financial  assets</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3">
      <c r="A233">
        <f t="shared" si="3"/>
        <v>232</v>
      </c>
      <c r="B233" t="s">
        <v>255</v>
      </c>
      <c r="C233">
        <v>2</v>
      </c>
      <c r="D233">
        <v>294</v>
      </c>
      <c r="E233" s="2">
        <f>VLOOKUP( T_Aop[[#This Row],[Id]], T_Aop[], ID_Jezik +10, 1)</f>
        <v>0</v>
      </c>
      <c r="F233" t="str">
        <f>REPT( "  ", T_Aop[[#This Row],[Aop nivo]]) &amp; VLOOKUP( T_Aop[[#This Row],[Id]], T_Aop[], ID_Jezik + 6, 1)</f>
        <v xml:space="preserve">    2. Net losses from revaluation of financial assets (295 to 298)</v>
      </c>
      <c r="G233" s="288" t="s">
        <v>1559</v>
      </c>
      <c r="H233" s="56" t="s">
        <v>1507</v>
      </c>
      <c r="I233" s="295" t="s">
        <v>1896</v>
      </c>
      <c r="J233" s="370" t="s">
        <v>2550</v>
      </c>
      <c r="K233" s="376"/>
      <c r="L233" s="275"/>
      <c r="M233" s="293"/>
      <c r="N233" s="293"/>
      <c r="O233" s="10">
        <v>1</v>
      </c>
      <c r="P233" s="10"/>
    </row>
    <row r="234" spans="1:16" ht="12.75" customHeight="1" x14ac:dyDescent="0.3">
      <c r="A234">
        <f t="shared" si="3"/>
        <v>233</v>
      </c>
      <c r="B234" t="s">
        <v>255</v>
      </c>
      <c r="C234">
        <v>3</v>
      </c>
      <c r="D234">
        <v>295</v>
      </c>
      <c r="E234" s="2" t="str">
        <f>VLOOKUP( T_Aop[[#This Row],[Id]], T_Aop[], ID_Jezik +10, 1)</f>
        <v>584, 684</v>
      </c>
      <c r="F234" t="str">
        <f>REPT( "  ", T_Aop[[#This Row],[Aop nivo]]) &amp; VLOOKUP( T_Aop[[#This Row],[Id]], T_Aop[], ID_Jezik + 6, 1)</f>
        <v xml:space="preserve">      2.1 Net losses from revaluation of long-term financial assets</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3">
      <c r="A235">
        <f t="shared" si="3"/>
        <v>234</v>
      </c>
      <c r="B235" t="s">
        <v>255</v>
      </c>
      <c r="C235">
        <v>3</v>
      </c>
      <c r="D235">
        <v>296</v>
      </c>
      <c r="E235" s="2" t="str">
        <f>VLOOKUP( T_Aop[[#This Row],[Id]], T_Aop[], ID_Jezik +10, 1)</f>
        <v>586, 686 Net amount</v>
      </c>
      <c r="F235" t="str">
        <f>REPT( "  ", T_Aop[[#This Row],[Aop nivo]]) &amp; VLOOKUP( T_Aop[[#This Row],[Id]], T_Aop[], ID_Jezik + 6, 1)</f>
        <v xml:space="preserve">      2.2 Net losses from revaluation of short-term financial assets (except custumers receivables)</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3">
      <c r="A236">
        <f t="shared" si="3"/>
        <v>235</v>
      </c>
      <c r="B236" t="s">
        <v>255</v>
      </c>
      <c r="C236">
        <v>3</v>
      </c>
      <c r="D236">
        <v>297</v>
      </c>
      <c r="E236" s="2" t="str">
        <f>VLOOKUP( T_Aop[[#This Row],[Id]], T_Aop[], ID_Jezik +10, 1)</f>
        <v>587, 687 Net amount</v>
      </c>
      <c r="F236" t="str">
        <f>REPT( "  ", T_Aop[[#This Row],[Aop nivo]]) &amp; VLOOKUP( T_Aop[[#This Row],[Id]], T_Aop[], ID_Jezik + 6, 1)</f>
        <v xml:space="preserve">      2.3 Net losses from revaluation of customers receivables</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3">
      <c r="A237">
        <f t="shared" si="3"/>
        <v>236</v>
      </c>
      <c r="B237" t="s">
        <v>255</v>
      </c>
      <c r="C237">
        <v>3</v>
      </c>
      <c r="D237">
        <v>298</v>
      </c>
      <c r="E237" s="2" t="str">
        <f>VLOOKUP( T_Aop[[#This Row],[Id]], T_Aop[], ID_Jezik +10, 1)</f>
        <v>part 589, part 689 Net amount</v>
      </c>
      <c r="F237" t="str">
        <f>REPT( "  ", T_Aop[[#This Row],[Aop nivo]]) &amp; VLOOKUP( T_Aop[[#This Row],[Id]], T_Aop[], ID_Jezik + 6, 1)</f>
        <v xml:space="preserve">      2.4. Net losses from revaluation of other financial assets </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3">
      <c r="A238">
        <f t="shared" si="3"/>
        <v>237</v>
      </c>
      <c r="B238" t="s">
        <v>255</v>
      </c>
      <c r="C238">
        <v>1</v>
      </c>
      <c r="D238">
        <v>299</v>
      </c>
      <c r="E238" s="2">
        <f>VLOOKUP( T_Aop[[#This Row],[Id]], T_Aop[], ID_Jezik +10, 1)</f>
        <v>0</v>
      </c>
      <c r="F238" t="str">
        <f>REPT( "  ", T_Aop[[#This Row],[Aop nivo]]) &amp; VLOOKUP( T_Aop[[#This Row],[Id]], T_Aop[], ID_Jezik + 6, 1)</f>
        <v xml:space="preserve">  K. GAIN FROM THE REVALUATION OF PROPERTY VALUE (273 - 286)</v>
      </c>
      <c r="G238" s="291" t="s">
        <v>2768</v>
      </c>
      <c r="H238" s="287" t="s">
        <v>2222</v>
      </c>
      <c r="I238" s="295" t="s">
        <v>1901</v>
      </c>
      <c r="J238" s="370" t="s">
        <v>2089</v>
      </c>
      <c r="K238" s="376"/>
      <c r="L238" s="275"/>
      <c r="M238" s="293"/>
      <c r="N238" s="293"/>
      <c r="O238" s="10"/>
      <c r="P238" s="10"/>
    </row>
    <row r="239" spans="1:16" ht="12.75" customHeight="1" x14ac:dyDescent="0.3">
      <c r="A239">
        <f t="shared" si="3"/>
        <v>238</v>
      </c>
      <c r="B239" t="s">
        <v>255</v>
      </c>
      <c r="C239">
        <v>1</v>
      </c>
      <c r="D239">
        <v>300</v>
      </c>
      <c r="E239" s="2">
        <f>VLOOKUP( T_Aop[[#This Row],[Id]], T_Aop[], ID_Jezik +10, 1)</f>
        <v>0</v>
      </c>
      <c r="F239" t="str">
        <f>REPT( "  ", T_Aop[[#This Row],[Aop nivo]]) &amp; VLOOKUP( T_Aop[[#This Row],[Id]], T_Aop[], ID_Jezik + 6, 1)</f>
        <v xml:space="preserve">  L. LOSS FROM THE REVALUATION OF PROPERTY VALUE (286 - 273)</v>
      </c>
      <c r="G239" s="291" t="s">
        <v>2767</v>
      </c>
      <c r="H239" s="287" t="s">
        <v>2223</v>
      </c>
      <c r="I239" s="295" t="s">
        <v>1902</v>
      </c>
      <c r="J239" s="370" t="s">
        <v>2090</v>
      </c>
      <c r="K239" s="376"/>
      <c r="L239" s="275"/>
      <c r="M239" s="293"/>
      <c r="N239" s="293"/>
      <c r="O239" s="10"/>
      <c r="P239" s="10"/>
    </row>
    <row r="240" spans="1:16" ht="12.75" customHeight="1" x14ac:dyDescent="0.3">
      <c r="A240">
        <f t="shared" si="3"/>
        <v>239</v>
      </c>
      <c r="B240" t="s">
        <v>255</v>
      </c>
      <c r="C240">
        <v>1</v>
      </c>
      <c r="D240">
        <v>301</v>
      </c>
      <c r="E240" s="2" t="str">
        <f>VLOOKUP( T_Aop[[#This Row],[Id]], T_Aop[], ID_Jezik +10, 1)</f>
        <v>690 and 691</v>
      </c>
      <c r="F240" t="str">
        <f>REPT( "  ", T_Aop[[#This Row],[Aop nivo]]) &amp; VLOOKUP( T_Aop[[#This Row],[Id]], T_Aop[], ID_Jezik + 6, 1)</f>
        <v xml:space="preserve">  M. Incomes from changes in accounting policies and corrections from previous year</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3">
      <c r="A241">
        <f t="shared" si="3"/>
        <v>240</v>
      </c>
      <c r="B241" t="s">
        <v>255</v>
      </c>
      <c r="C241" s="3">
        <v>1</v>
      </c>
      <c r="D241">
        <v>302</v>
      </c>
      <c r="E241" s="10" t="str">
        <f>VLOOKUP( T_Aop[[#This Row],[Id]], T_Aop[], ID_Jezik +10, 1)</f>
        <v>590 and 591</v>
      </c>
      <c r="F241" t="str">
        <f>REPT( "  ", T_Aop[[#This Row],[Aop nivo]]) &amp; VLOOKUP( T_Aop[[#This Row],[Id]], T_Aop[], ID_Jezik + 6, 1)</f>
        <v xml:space="preserve">  N. Losses from changes in accounting policies and corrections from previous year</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3">
      <c r="A242">
        <f t="shared" si="3"/>
        <v>241</v>
      </c>
      <c r="B242" t="s">
        <v>255</v>
      </c>
      <c r="C242">
        <v>0</v>
      </c>
      <c r="D242">
        <v>303</v>
      </c>
      <c r="E242" s="10">
        <f>VLOOKUP( T_Aop[[#This Row],[Id]], T_Aop[], ID_Jezik +10, 1)</f>
        <v>0</v>
      </c>
      <c r="F242" t="str">
        <f>REPT( "  ", T_Aop[[#This Row],[Aop nivo]]) &amp; VLOOKUP( T_Aop[[#This Row],[Id]], T_Aop[], ID_Jezik + 6, 1)</f>
        <v xml:space="preserve">Share in profit of associated company and joint venture using equity method </v>
      </c>
      <c r="G242" s="288" t="s">
        <v>1199</v>
      </c>
      <c r="H242" s="56" t="s">
        <v>956</v>
      </c>
      <c r="I242" s="295" t="s">
        <v>1905</v>
      </c>
      <c r="J242" s="370" t="s">
        <v>2092</v>
      </c>
      <c r="K242" s="376"/>
      <c r="L242" s="275"/>
      <c r="M242" s="293"/>
      <c r="N242" s="293"/>
      <c r="O242" s="10">
        <v>1</v>
      </c>
      <c r="P242" s="10"/>
    </row>
    <row r="243" spans="1:16" s="356" customFormat="1" ht="12.75" customHeight="1" x14ac:dyDescent="0.3">
      <c r="A243">
        <f t="shared" si="3"/>
        <v>242</v>
      </c>
      <c r="B243" t="s">
        <v>255</v>
      </c>
      <c r="C243">
        <v>0</v>
      </c>
      <c r="D243">
        <v>304</v>
      </c>
      <c r="E243" s="10">
        <f>VLOOKUP( T_Aop[[#This Row],[Id]], T_Aop[], ID_Jezik +10, 1)</f>
        <v>0</v>
      </c>
      <c r="F243" t="str">
        <f>REPT( "  ", T_Aop[[#This Row],[Aop nivo]]) &amp; VLOOKUP( T_Aop[[#This Row],[Id]], T_Aop[], ID_Jezik + 6, 1)</f>
        <v xml:space="preserve">Share in loss of associated company and joint venture using equity method </v>
      </c>
      <c r="G243" s="288" t="s">
        <v>1200</v>
      </c>
      <c r="H243" s="56" t="s">
        <v>957</v>
      </c>
      <c r="I243" s="295" t="s">
        <v>1906</v>
      </c>
      <c r="J243" s="370" t="s">
        <v>2093</v>
      </c>
      <c r="K243" s="376"/>
      <c r="L243" s="275"/>
      <c r="M243" s="293"/>
      <c r="N243" s="293"/>
      <c r="O243" s="10">
        <v>1</v>
      </c>
      <c r="P243" s="10"/>
    </row>
    <row r="244" spans="1:16" s="356" customFormat="1" ht="12.75" customHeight="1" x14ac:dyDescent="0.3">
      <c r="A244">
        <f t="shared" si="3"/>
        <v>243</v>
      </c>
      <c r="B244" t="s">
        <v>255</v>
      </c>
      <c r="C244">
        <v>1</v>
      </c>
      <c r="D244">
        <v>305</v>
      </c>
      <c r="E244" s="10">
        <f>VLOOKUP( T_Aop[[#This Row],[Id]], T_Aop[], ID_Jezik +10, 1)</f>
        <v>0</v>
      </c>
      <c r="F244" t="str">
        <f>REPT( "  ", T_Aop[[#This Row],[Aop nivo]]) &amp; VLOOKUP( T_Aop[[#This Row],[Id]], T_Aop[], ID_Jezik + 6, 1)</f>
        <v xml:space="preserve">  TOTAL INCOME (201 + 239 + 251 + 273 + 301+ 303)</v>
      </c>
      <c r="G244" s="281" t="s">
        <v>1201</v>
      </c>
      <c r="H244" s="56" t="s">
        <v>958</v>
      </c>
      <c r="I244" s="295" t="s">
        <v>1907</v>
      </c>
      <c r="J244" s="370" t="s">
        <v>2094</v>
      </c>
      <c r="K244" s="376"/>
      <c r="L244" s="275"/>
      <c r="M244" s="293"/>
      <c r="N244" s="293"/>
      <c r="O244" s="10">
        <v>1</v>
      </c>
      <c r="P244" s="10"/>
    </row>
    <row r="245" spans="1:16" s="356" customFormat="1" ht="12.75" customHeight="1" x14ac:dyDescent="0.3">
      <c r="A245">
        <f t="shared" si="3"/>
        <v>244</v>
      </c>
      <c r="B245" t="s">
        <v>255</v>
      </c>
      <c r="C245">
        <v>1</v>
      </c>
      <c r="D245">
        <v>306</v>
      </c>
      <c r="E245" s="10">
        <f>VLOOKUP( T_Aop[[#This Row],[Id]], T_Aop[], ID_Jezik +10, 1)</f>
        <v>0</v>
      </c>
      <c r="F245" t="str">
        <f>REPT( "  ", T_Aop[[#This Row],[Aop nivo]]) &amp; VLOOKUP( T_Aop[[#This Row],[Id]], T_Aop[], ID_Jezik + 6, 1)</f>
        <v xml:space="preserve">  TOTAL EXPENSES (219 + 244 + 261 + 286 + 302+ 304)</v>
      </c>
      <c r="G245" s="281" t="s">
        <v>1202</v>
      </c>
      <c r="H245" s="56" t="s">
        <v>959</v>
      </c>
      <c r="I245" s="295" t="s">
        <v>1908</v>
      </c>
      <c r="J245" s="370" t="s">
        <v>2095</v>
      </c>
      <c r="K245" s="376"/>
      <c r="L245" s="275"/>
      <c r="M245" s="293"/>
      <c r="N245" s="293"/>
      <c r="O245" s="10"/>
      <c r="P245" s="10"/>
    </row>
    <row r="246" spans="1:16" s="356" customFormat="1" ht="24" customHeight="1" x14ac:dyDescent="0.3">
      <c r="A246">
        <f t="shared" si="3"/>
        <v>245</v>
      </c>
      <c r="B246" t="s">
        <v>255</v>
      </c>
      <c r="C246">
        <v>1</v>
      </c>
      <c r="D246">
        <v>307</v>
      </c>
      <c r="E246" s="10">
        <f>VLOOKUP( T_Aop[[#This Row],[Id]], T_Aop[], ID_Jezik +10, 1)</f>
        <v>0</v>
      </c>
      <c r="F246" t="str">
        <f>REPT( "  ", T_Aop[[#This Row],[Aop nivo]]) &amp; VLOOKUP( T_Aop[[#This Row],[Id]], T_Aop[], ID_Jezik + 6, 1)</f>
        <v xml:space="preserve">  O. INCOME AND LOSS BEFORE TAXES 
1. Income before taxes (305-306)</v>
      </c>
      <c r="G246" s="280" t="s">
        <v>2874</v>
      </c>
      <c r="H246" s="287" t="s">
        <v>2866</v>
      </c>
      <c r="I246" s="296" t="s">
        <v>2585</v>
      </c>
      <c r="J246" s="370" t="s">
        <v>2219</v>
      </c>
      <c r="K246" s="293"/>
      <c r="L246" s="277"/>
      <c r="M246" s="277"/>
      <c r="N246" s="256"/>
      <c r="O246" s="10"/>
      <c r="P246" s="10"/>
    </row>
    <row r="247" spans="1:16" s="356" customFormat="1" ht="12.75" customHeight="1" x14ac:dyDescent="0.3">
      <c r="A247">
        <f t="shared" si="3"/>
        <v>246</v>
      </c>
      <c r="B247" t="s">
        <v>255</v>
      </c>
      <c r="C247">
        <v>1</v>
      </c>
      <c r="D247">
        <v>308</v>
      </c>
      <c r="E247" s="10">
        <f>VLOOKUP( T_Aop[[#This Row],[Id]], T_Aop[], ID_Jezik +10, 1)</f>
        <v>0</v>
      </c>
      <c r="F247" t="str">
        <f>REPT( "  ", T_Aop[[#This Row],[Aop nivo]]) &amp; VLOOKUP( T_Aop[[#This Row],[Id]], T_Aop[], ID_Jezik + 6, 1)</f>
        <v xml:space="preserve">  2. Loss before taxes (306-305)</v>
      </c>
      <c r="G247" s="288" t="s">
        <v>1203</v>
      </c>
      <c r="H247" s="311" t="s">
        <v>960</v>
      </c>
      <c r="I247" s="312" t="s">
        <v>1909</v>
      </c>
      <c r="J247" s="379" t="s">
        <v>2096</v>
      </c>
      <c r="K247" s="313"/>
      <c r="L247" s="314"/>
      <c r="M247" s="277"/>
      <c r="N247" s="256"/>
      <c r="O247" s="10"/>
      <c r="P247" s="10"/>
    </row>
    <row r="248" spans="1:16" s="356" customFormat="1" ht="12.75" customHeight="1" x14ac:dyDescent="0.3">
      <c r="A248">
        <f t="shared" si="3"/>
        <v>247</v>
      </c>
      <c r="B248" t="s">
        <v>255</v>
      </c>
      <c r="C248">
        <v>1</v>
      </c>
      <c r="D248">
        <v>309</v>
      </c>
      <c r="E248" s="10">
        <f>VLOOKUP( T_Aop[[#This Row],[Id]], T_Aop[], ID_Jezik +10, 1)</f>
        <v>721</v>
      </c>
      <c r="F248" t="str">
        <f>REPT( "  ", T_Aop[[#This Row],[Aop nivo]]) &amp; VLOOKUP( T_Aop[[#This Row],[Id]], T_Aop[], ID_Jezik + 6, 1)</f>
        <v xml:space="preserve">  P. CURRENT AND DEFERRED INCOME TAX  1.Tax expenses of reporting period</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3">
      <c r="A249">
        <f t="shared" si="3"/>
        <v>248</v>
      </c>
      <c r="B249" t="s">
        <v>255</v>
      </c>
      <c r="C249">
        <v>2</v>
      </c>
      <c r="D249">
        <v>310</v>
      </c>
      <c r="E249" s="10">
        <f>VLOOKUP( T_Aop[[#This Row],[Id]], T_Aop[], ID_Jezik +10, 1)</f>
        <v>0</v>
      </c>
      <c r="F249" t="str">
        <f>REPT( "  ", T_Aop[[#This Row],[Aop nivo]]) &amp; VLOOKUP( T_Aop[[#This Row],[Id]], T_Aop[], ID_Jezik + 6, 1)</f>
        <v xml:space="preserve">    2. Deffered tax expense of reporting period (311+312)</v>
      </c>
      <c r="G249" s="288" t="s">
        <v>1204</v>
      </c>
      <c r="H249" s="311" t="s">
        <v>961</v>
      </c>
      <c r="I249" s="312" t="s">
        <v>1911</v>
      </c>
      <c r="J249" s="379" t="s">
        <v>2097</v>
      </c>
      <c r="K249" s="313"/>
      <c r="L249" s="314"/>
      <c r="M249" s="277"/>
      <c r="N249" s="256"/>
      <c r="O249" s="10"/>
      <c r="P249" s="10"/>
    </row>
    <row r="250" spans="1:16" s="356" customFormat="1" ht="12.75" customHeight="1" x14ac:dyDescent="0.3">
      <c r="A250">
        <f t="shared" si="3"/>
        <v>249</v>
      </c>
      <c r="B250" t="s">
        <v>255</v>
      </c>
      <c r="C250">
        <v>3</v>
      </c>
      <c r="D250">
        <v>311</v>
      </c>
      <c r="E250" s="10">
        <f>VLOOKUP( T_Aop[[#This Row],[Id]], T_Aop[], ID_Jezik +10, 1)</f>
        <v>722</v>
      </c>
      <c r="F250" t="str">
        <f>REPT( "  ", T_Aop[[#This Row],[Aop nivo]]) &amp; VLOOKUP( T_Aop[[#This Row],[Id]], T_Aop[], ID_Jezik + 6, 1)</f>
        <v xml:space="preserve">      2.1.   Effect of reduction of deffered tax assets</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3">
      <c r="A251">
        <f t="shared" si="3"/>
        <v>250</v>
      </c>
      <c r="B251" t="s">
        <v>255</v>
      </c>
      <c r="C251">
        <v>3</v>
      </c>
      <c r="D251">
        <v>312</v>
      </c>
      <c r="E251" s="10">
        <f>VLOOKUP( T_Aop[[#This Row],[Id]], T_Aop[], ID_Jezik +10, 1)</f>
        <v>724</v>
      </c>
      <c r="F251" t="str">
        <f>REPT( "  ", T_Aop[[#This Row],[Aop nivo]]) &amp; VLOOKUP( T_Aop[[#This Row],[Id]], T_Aop[], ID_Jezik + 6, 1)</f>
        <v xml:space="preserve">      2.2.   Effect of increase of deffered tax assets</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3">
      <c r="A252">
        <f t="shared" si="3"/>
        <v>251</v>
      </c>
      <c r="B252" t="s">
        <v>255</v>
      </c>
      <c r="C252">
        <v>2</v>
      </c>
      <c r="D252">
        <v>313</v>
      </c>
      <c r="E252" s="10">
        <f>VLOOKUP( T_Aop[[#This Row],[Id]], T_Aop[], ID_Jezik +10, 1)</f>
        <v>0</v>
      </c>
      <c r="F252" t="str">
        <f>REPT( "  ", T_Aop[[#This Row],[Aop nivo]]) &amp; VLOOKUP( T_Aop[[#This Row],[Id]], T_Aop[], ID_Jezik + 6, 1)</f>
        <v xml:space="preserve">    3. Deffered income tax of reporting period (314+315)</v>
      </c>
      <c r="G252" s="288" t="s">
        <v>1207</v>
      </c>
      <c r="H252" s="311" t="s">
        <v>964</v>
      </c>
      <c r="I252" s="312" t="s">
        <v>1912</v>
      </c>
      <c r="J252" s="379" t="s">
        <v>2098</v>
      </c>
      <c r="K252" s="313"/>
      <c r="L252" s="314"/>
      <c r="M252" s="277"/>
      <c r="N252" s="256"/>
      <c r="O252" s="10"/>
      <c r="P252" s="10"/>
    </row>
    <row r="253" spans="1:16" s="356" customFormat="1" ht="12.75" customHeight="1" x14ac:dyDescent="0.3">
      <c r="A253">
        <f t="shared" si="3"/>
        <v>252</v>
      </c>
      <c r="B253" t="s">
        <v>255</v>
      </c>
      <c r="C253" s="3">
        <v>3</v>
      </c>
      <c r="D253" s="3">
        <v>314</v>
      </c>
      <c r="E253" s="10">
        <f>VLOOKUP( T_Aop[[#This Row],[Id]], T_Aop[], ID_Jezik +10, 1)</f>
        <v>723</v>
      </c>
      <c r="F253" t="str">
        <f>REPT( "  ", T_Aop[[#This Row],[Aop nivo]]) &amp; VLOOKUP( T_Aop[[#This Row],[Id]], T_Aop[], ID_Jezik + 6, 1)</f>
        <v xml:space="preserve">      3.1. Effect of increase of deffered tax assets</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3">
      <c r="A254">
        <f t="shared" si="3"/>
        <v>253</v>
      </c>
      <c r="B254" t="s">
        <v>255</v>
      </c>
      <c r="C254">
        <v>3</v>
      </c>
      <c r="D254">
        <v>315</v>
      </c>
      <c r="E254" s="10">
        <f>VLOOKUP( T_Aop[[#This Row],[Id]], T_Aop[], ID_Jezik +10, 1)</f>
        <v>725</v>
      </c>
      <c r="F254" t="str">
        <f>REPT( "  ", T_Aop[[#This Row],[Aop nivo]]) &amp; VLOOKUP( T_Aop[[#This Row],[Id]], T_Aop[], ID_Jezik + 6, 1)</f>
        <v xml:space="preserve">      3.2. Effect of reduction of deffered tax liabilities</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3">
      <c r="A255">
        <f t="shared" si="3"/>
        <v>254</v>
      </c>
      <c r="B255" t="s">
        <v>255</v>
      </c>
      <c r="C255">
        <v>1</v>
      </c>
      <c r="D255">
        <v>316</v>
      </c>
      <c r="E255" s="10">
        <f>VLOOKUP( T_Aop[[#This Row],[Id]], T_Aop[], ID_Jezik +10, 1)</f>
        <v>0</v>
      </c>
      <c r="F255" s="255" t="str">
        <f>REPT( "  ", T_Aop[[#This Row],[Aop nivo]]) &amp; VLOOKUP( T_Aop[[#This Row],[Id]], T_Aop[], ID_Jezik + 6, 1)</f>
        <v xml:space="preserve">  Q. NET INCOME AND NET LOSS OF THE PERIOD 1. Net income of the current year (307-309-310+313) and 307&gt;0 or (313-308-309-310) and 308&gt;0</v>
      </c>
      <c r="G255" s="298" t="s">
        <v>2876</v>
      </c>
      <c r="H255" s="315" t="s">
        <v>2215</v>
      </c>
      <c r="I255" s="312" t="s">
        <v>1913</v>
      </c>
      <c r="J255" s="379" t="s">
        <v>2221</v>
      </c>
      <c r="K255" s="317"/>
      <c r="L255" s="314"/>
      <c r="M255" s="277"/>
      <c r="N255" s="256"/>
      <c r="O255" s="10"/>
      <c r="P255" s="10"/>
    </row>
    <row r="256" spans="1:16" s="356" customFormat="1" ht="12.75" customHeight="1" x14ac:dyDescent="0.3">
      <c r="A256">
        <f t="shared" si="3"/>
        <v>255</v>
      </c>
      <c r="B256" t="s">
        <v>255</v>
      </c>
      <c r="C256">
        <v>0</v>
      </c>
      <c r="D256">
        <v>317</v>
      </c>
      <c r="E256" s="10" t="str">
        <f>VLOOKUP( T_Aop[[#This Row],[Id]], T_Aop[], ID_Jezik +10, 1)</f>
        <v xml:space="preserve"> </v>
      </c>
      <c r="F256" s="183" t="str">
        <f>REPT( "  ", T_Aop[[#This Row],[Aop nivo]]) &amp; VLOOKUP( T_Aop[[#This Row],[Id]], T_Aop[], ID_Jezik + 6, 1)</f>
        <v>2. Net loss of the current year (308+309+310-313)&gt;0 and 308&gt;0  or (309+310-307-313)&gt;0 and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3">
      <c r="A257">
        <f t="shared" si="3"/>
        <v>256</v>
      </c>
      <c r="B257" t="s">
        <v>255</v>
      </c>
      <c r="C257">
        <v>1</v>
      </c>
      <c r="D257">
        <v>318</v>
      </c>
      <c r="E257" s="10">
        <f>VLOOKUP( T_Aop[[#This Row],[Id]], T_Aop[], ID_Jezik +10, 1)</f>
        <v>726</v>
      </c>
      <c r="F257" t="str">
        <f>REPT( "  ", T_Aop[[#This Row],[Aop nivo]]) &amp; VLOOKUP( T_Aop[[#This Row],[Id]], T_Aop[], ID_Jezik + 6, 1)</f>
        <v xml:space="preserve">  R. Interim dividends and other forms of net income distribution during reporting period</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3">
      <c r="A258">
        <f t="shared" ref="A258:A321" si="4">ROW()-ROW($A$1)</f>
        <v>257</v>
      </c>
      <c r="B258" t="s">
        <v>255</v>
      </c>
      <c r="C258">
        <v>0</v>
      </c>
      <c r="D258">
        <v>319</v>
      </c>
      <c r="E258" s="10">
        <f>VLOOKUP( T_Aop[[#This Row],[Id]], T_Aop[], ID_Jezik +10, 1)</f>
        <v>0</v>
      </c>
      <c r="F258" t="str">
        <f>REPT( "  ", T_Aop[[#This Row],[Aop nivo]]) &amp; VLOOKUP( T_Aop[[#This Row],[Id]], T_Aop[], ID_Jezik + 6, 1)</f>
        <v>Share of net income/loss which belongs to majority owners</v>
      </c>
      <c r="G258" s="288" t="s">
        <v>1212</v>
      </c>
      <c r="H258" s="311" t="s">
        <v>969</v>
      </c>
      <c r="I258" s="312" t="s">
        <v>38</v>
      </c>
      <c r="J258" s="379" t="s">
        <v>2103</v>
      </c>
      <c r="K258" s="317"/>
      <c r="L258" s="314"/>
      <c r="M258" s="279"/>
      <c r="N258" s="256"/>
      <c r="O258" s="10"/>
      <c r="P258" s="10"/>
    </row>
    <row r="259" spans="1:16" s="356" customFormat="1" ht="12.75" customHeight="1" x14ac:dyDescent="0.3">
      <c r="A259">
        <f t="shared" si="4"/>
        <v>258</v>
      </c>
      <c r="B259" t="s">
        <v>255</v>
      </c>
      <c r="C259">
        <v>0</v>
      </c>
      <c r="D259">
        <v>320</v>
      </c>
      <c r="E259" s="10">
        <f>VLOOKUP( T_Aop[[#This Row],[Id]], T_Aop[], ID_Jezik +10, 1)</f>
        <v>0</v>
      </c>
      <c r="F259" t="str">
        <f>REPT( "  ", T_Aop[[#This Row],[Aop nivo]]) &amp; VLOOKUP( T_Aop[[#This Row],[Id]], T_Aop[], ID_Jezik + 6, 1)</f>
        <v>Share of net income/loss which belongs to minority owners</v>
      </c>
      <c r="G259" s="288" t="s">
        <v>1213</v>
      </c>
      <c r="H259" s="311" t="s">
        <v>970</v>
      </c>
      <c r="I259" s="312" t="s">
        <v>39</v>
      </c>
      <c r="J259" s="379" t="s">
        <v>2104</v>
      </c>
      <c r="K259" s="317"/>
      <c r="L259" s="314"/>
      <c r="M259" s="279"/>
      <c r="N259" s="256"/>
      <c r="O259" s="10"/>
      <c r="P259" s="10"/>
    </row>
    <row r="260" spans="1:16" s="356" customFormat="1" ht="12.75" customHeight="1" x14ac:dyDescent="0.3">
      <c r="A260">
        <f t="shared" si="4"/>
        <v>259</v>
      </c>
      <c r="B260" t="s">
        <v>255</v>
      </c>
      <c r="C260">
        <v>0</v>
      </c>
      <c r="D260">
        <v>321</v>
      </c>
      <c r="E260" s="10">
        <f>VLOOKUP( T_Aop[[#This Row],[Id]], T_Aop[], ID_Jezik +10, 1)</f>
        <v>0</v>
      </c>
      <c r="F260" t="str">
        <f>REPT( "  ", T_Aop[[#This Row],[Aop nivo]]) &amp; VLOOKUP( T_Aop[[#This Row],[Id]], T_Aop[], ID_Jezik + 6, 1)</f>
        <v>Basic earnings per share</v>
      </c>
      <c r="G260" s="288" t="s">
        <v>32</v>
      </c>
      <c r="H260" s="311" t="s">
        <v>513</v>
      </c>
      <c r="I260" s="312" t="s">
        <v>37</v>
      </c>
      <c r="J260" s="379" t="s">
        <v>2105</v>
      </c>
      <c r="K260" s="317"/>
      <c r="L260" s="314"/>
      <c r="M260" s="279"/>
      <c r="N260" s="256"/>
      <c r="O260" s="10"/>
      <c r="P260" s="10"/>
    </row>
    <row r="261" spans="1:16" s="356" customFormat="1" ht="12.75" customHeight="1" x14ac:dyDescent="0.3">
      <c r="A261">
        <f t="shared" si="4"/>
        <v>260</v>
      </c>
      <c r="B261" t="s">
        <v>255</v>
      </c>
      <c r="C261">
        <v>0</v>
      </c>
      <c r="D261">
        <v>322</v>
      </c>
      <c r="E261" s="10">
        <f>VLOOKUP( T_Aop[[#This Row],[Id]], T_Aop[], ID_Jezik +10, 1)</f>
        <v>0</v>
      </c>
      <c r="F261" t="str">
        <f>REPT( "  ", T_Aop[[#This Row],[Aop nivo]]) &amp; VLOOKUP( T_Aop[[#This Row],[Id]], T_Aop[], ID_Jezik + 6, 1)</f>
        <v>Diluted earnings per share</v>
      </c>
      <c r="G261" s="288" t="s">
        <v>5</v>
      </c>
      <c r="H261" s="311" t="s">
        <v>514</v>
      </c>
      <c r="I261" s="312" t="s">
        <v>30</v>
      </c>
      <c r="J261" s="379" t="s">
        <v>2106</v>
      </c>
      <c r="K261" s="317"/>
      <c r="L261" s="314"/>
      <c r="M261" s="279"/>
      <c r="N261" s="256"/>
      <c r="O261" s="10"/>
      <c r="P261" s="10"/>
    </row>
    <row r="262" spans="1:16" s="356" customFormat="1" ht="12.75" customHeight="1" x14ac:dyDescent="0.3">
      <c r="A262">
        <f t="shared" si="4"/>
        <v>261</v>
      </c>
      <c r="B262" t="s">
        <v>255</v>
      </c>
      <c r="C262">
        <v>0</v>
      </c>
      <c r="D262">
        <v>323</v>
      </c>
      <c r="E262" s="10">
        <f>VLOOKUP( T_Aop[[#This Row],[Id]], T_Aop[], ID_Jezik +10, 1)</f>
        <v>0</v>
      </c>
      <c r="F262" t="str">
        <f>REPT( "  ", T_Aop[[#This Row],[Aop nivo]]) &amp; VLOOKUP( T_Aop[[#This Row],[Id]], T_Aop[], ID_Jezik + 6, 1)</f>
        <v>Average number of employees based on the working hour</v>
      </c>
      <c r="G262" s="288" t="s">
        <v>33</v>
      </c>
      <c r="H262" s="311" t="s">
        <v>515</v>
      </c>
      <c r="I262" s="319" t="s">
        <v>2586</v>
      </c>
      <c r="J262" s="379" t="s">
        <v>2107</v>
      </c>
      <c r="K262" s="317"/>
      <c r="L262" s="314"/>
      <c r="M262" s="279"/>
      <c r="N262" s="256"/>
      <c r="O262" s="10"/>
      <c r="P262" s="10"/>
    </row>
    <row r="263" spans="1:16" s="356" customFormat="1" ht="12.75" customHeight="1" x14ac:dyDescent="0.3">
      <c r="A263">
        <f t="shared" si="4"/>
        <v>262</v>
      </c>
      <c r="B263" t="s">
        <v>255</v>
      </c>
      <c r="C263">
        <v>0</v>
      </c>
      <c r="D263">
        <v>324</v>
      </c>
      <c r="E263" s="2">
        <f>VLOOKUP( T_Aop[[#This Row],[Id]], T_Aop[], ID_Jezik +10, 1)</f>
        <v>0</v>
      </c>
      <c r="F263" t="str">
        <f>REPT( "  ", T_Aop[[#This Row],[Aop nivo]]) &amp; VLOOKUP( T_Aop[[#This Row],[Id]], T_Aop[], ID_Jezik + 6, 1)</f>
        <v xml:space="preserve">Average number of employees according to month ending balance </v>
      </c>
      <c r="G263" s="288" t="s">
        <v>40</v>
      </c>
      <c r="H263" s="311" t="s">
        <v>516</v>
      </c>
      <c r="I263" s="319" t="s">
        <v>2587</v>
      </c>
      <c r="J263" s="379" t="s">
        <v>2108</v>
      </c>
      <c r="K263" s="313"/>
      <c r="L263" s="314"/>
      <c r="M263" s="279"/>
      <c r="N263" s="256"/>
      <c r="O263" s="10"/>
      <c r="P263" s="10"/>
    </row>
    <row r="264" spans="1:16" s="356" customFormat="1" ht="20.25" customHeight="1" x14ac:dyDescent="0.3">
      <c r="A264">
        <f t="shared" si="4"/>
        <v>263</v>
      </c>
      <c r="B264" t="s">
        <v>264</v>
      </c>
      <c r="C264">
        <v>0</v>
      </c>
      <c r="D264" s="3">
        <v>400</v>
      </c>
      <c r="E264" s="10">
        <f>VLOOKUP( T_Aop[[#This Row],[Id]], T_Aop[], ID_Jezik +10, 1)</f>
        <v>0</v>
      </c>
      <c r="F264" t="str">
        <f>REPT( "  ", T_Aop[[#This Row],[Aop nivo]]) &amp; VLOOKUP( T_Aop[[#This Row],[Id]], T_Aop[], ID_Jezik + 6, 1)</f>
        <v xml:space="preserve">A. NET INCOME OR NET LOSS OF PERIOD </v>
      </c>
      <c r="G264" s="288" t="s">
        <v>2235</v>
      </c>
      <c r="H264" s="320" t="s">
        <v>2706</v>
      </c>
      <c r="I264" s="321" t="s">
        <v>1952</v>
      </c>
      <c r="J264" s="380" t="s">
        <v>2350</v>
      </c>
      <c r="K264" s="313"/>
      <c r="L264" s="313"/>
      <c r="M264" s="292"/>
      <c r="N264" s="256" t="s">
        <v>2344</v>
      </c>
      <c r="O264" s="10">
        <v>1</v>
      </c>
      <c r="P264" s="10"/>
    </row>
    <row r="265" spans="1:16" s="356" customFormat="1" ht="29.25" customHeight="1" x14ac:dyDescent="0.3">
      <c r="A265">
        <f t="shared" si="4"/>
        <v>264</v>
      </c>
      <c r="B265" t="s">
        <v>264</v>
      </c>
      <c r="C265">
        <v>2</v>
      </c>
      <c r="D265" s="3">
        <v>401</v>
      </c>
      <c r="E265" s="10">
        <f>VLOOKUP( T_Aop[[#This Row],[Id]], T_Aop[], ID_Jezik +10, 1)</f>
        <v>0</v>
      </c>
      <c r="F265" t="str">
        <f>REPT( "  ", T_Aop[[#This Row],[Aop nivo]]) &amp; VLOOKUP( T_Aop[[#This Row],[Id]], T_Aop[], ID_Jezik + 6, 1)</f>
        <v xml:space="preserve">    1. Items that can be reclassified in the income statement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3">
      <c r="A266">
        <f t="shared" si="4"/>
        <v>265</v>
      </c>
      <c r="B266" t="s">
        <v>264</v>
      </c>
      <c r="C266">
        <v>3</v>
      </c>
      <c r="D266" s="3">
        <v>402</v>
      </c>
      <c r="E266" s="10" t="str">
        <f>VLOOKUP( T_Aop[[#This Row],[Id]], T_Aop[], ID_Jezik +10, 1)</f>
        <v>Change  332 i 333</v>
      </c>
      <c r="F266" t="str">
        <f>REPT( "  ", T_Aop[[#This Row],[Aop nivo]]) &amp; VLOOKUP( T_Aop[[#This Row],[Id]], T_Aop[], ID_Jezik + 6, 1)</f>
        <v xml:space="preserve">      1.1.  Increase/(decrease) in the fair value of debt instruments at fair value through other comprehensive income</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3">
      <c r="A267">
        <f t="shared" si="4"/>
        <v>266</v>
      </c>
      <c r="B267" t="s">
        <v>264</v>
      </c>
      <c r="C267">
        <v>3</v>
      </c>
      <c r="D267" s="3">
        <v>403</v>
      </c>
      <c r="E267" s="10" t="str">
        <f>VLOOKUP( T_Aop[[#This Row],[Id]], T_Aop[], ID_Jezik +10, 1)</f>
        <v>Change 331</v>
      </c>
      <c r="F267" t="str">
        <f>REPT( "  ", T_Aop[[#This Row],[Aop nivo]]) &amp; VLOOKUP( T_Aop[[#This Row],[Id]], T_Aop[], ID_Jezik + 6, 1)</f>
        <v xml:space="preserve">      1.2. Effects resulting from hedging transactions</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3">
      <c r="A268">
        <f t="shared" si="4"/>
        <v>267</v>
      </c>
      <c r="B268" t="s">
        <v>264</v>
      </c>
      <c r="C268">
        <v>3</v>
      </c>
      <c r="D268" s="3">
        <v>404</v>
      </c>
      <c r="E268" s="10">
        <f>VLOOKUP( T_Aop[[#This Row],[Id]], T_Aop[], ID_Jezik +10, 1)</f>
        <v>0</v>
      </c>
      <c r="F268" t="str">
        <f>REPT( "  ", T_Aop[[#This Row],[Aop nivo]]) &amp; VLOOKUP( T_Aop[[#This Row],[Id]], T_Aop[], ID_Jezik + 6, 1)</f>
        <v xml:space="preserve">      1.3. Share in the other comprehensive income of the associated company and joint venture using the equity method</v>
      </c>
      <c r="G268" s="288" t="s">
        <v>1494</v>
      </c>
      <c r="H268" s="324" t="s">
        <v>1491</v>
      </c>
      <c r="I268" s="312" t="s">
        <v>1954</v>
      </c>
      <c r="J268" s="379" t="s">
        <v>2354</v>
      </c>
      <c r="K268" s="313"/>
      <c r="L268" s="313"/>
      <c r="M268" s="292"/>
      <c r="N268" s="256"/>
      <c r="O268" s="10"/>
      <c r="P268" s="10"/>
    </row>
    <row r="269" spans="1:16" s="356" customFormat="1" ht="12.75" customHeight="1" x14ac:dyDescent="0.3">
      <c r="A269">
        <f t="shared" si="4"/>
        <v>268</v>
      </c>
      <c r="B269" t="s">
        <v>264</v>
      </c>
      <c r="C269">
        <v>3</v>
      </c>
      <c r="D269" s="3">
        <v>405</v>
      </c>
      <c r="E269" s="10">
        <f>VLOOKUP( T_Aop[[#This Row],[Id]], T_Aop[], ID_Jezik +10, 1)</f>
        <v>0</v>
      </c>
      <c r="F269" t="str">
        <f>REPT( "  ", T_Aop[[#This Row],[Aop nivo]]) &amp; VLOOKUP( T_Aop[[#This Row],[Id]], T_Aop[], ID_Jezik + 6, 1)</f>
        <v xml:space="preserve">      1.4. Gains or losses arising from translation of financial statements in foreign operations</v>
      </c>
      <c r="G269" s="288" t="s">
        <v>1495</v>
      </c>
      <c r="H269" s="324" t="s">
        <v>1488</v>
      </c>
      <c r="I269" s="312" t="s">
        <v>1955</v>
      </c>
      <c r="J269" s="379" t="s">
        <v>2355</v>
      </c>
      <c r="K269" s="313"/>
      <c r="L269" s="313"/>
      <c r="M269" s="292"/>
      <c r="N269" s="256"/>
      <c r="O269" s="10"/>
      <c r="P269" s="10"/>
    </row>
    <row r="270" spans="1:16" s="356" customFormat="1" ht="12.75" customHeight="1" x14ac:dyDescent="0.3">
      <c r="A270">
        <f t="shared" si="4"/>
        <v>269</v>
      </c>
      <c r="B270" t="s">
        <v>264</v>
      </c>
      <c r="C270">
        <v>3</v>
      </c>
      <c r="D270" s="3">
        <v>406</v>
      </c>
      <c r="E270" s="10" t="str">
        <f>VLOOKUP( T_Aop[[#This Row],[Id]], T_Aop[], ID_Jezik +10, 1)</f>
        <v>Change 339, part</v>
      </c>
      <c r="F270" t="str">
        <f>REPT( "  ", T_Aop[[#This Row],[Aop nivo]]) &amp; VLOOKUP( T_Aop[[#This Row],[Id]], T_Aop[], ID_Jezik + 6, 1)</f>
        <v xml:space="preserve">      1.5. Other items that can be reclassified in the income statement</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3">
      <c r="A271">
        <f t="shared" si="4"/>
        <v>270</v>
      </c>
      <c r="B271" t="s">
        <v>264</v>
      </c>
      <c r="C271">
        <v>3</v>
      </c>
      <c r="D271" s="3">
        <v>407</v>
      </c>
      <c r="E271" s="10">
        <f>VLOOKUP( T_Aop[[#This Row],[Id]], T_Aop[], ID_Jezik +10, 1)</f>
        <v>0</v>
      </c>
      <c r="F271" t="str">
        <f>REPT( "  ", T_Aop[[#This Row],[Aop nivo]]) &amp; VLOOKUP( T_Aop[[#This Row],[Id]], T_Aop[], ID_Jezik + 6, 1)</f>
        <v xml:space="preserve">      1.6. Deferred income tax related to these items</v>
      </c>
      <c r="G271" s="288" t="s">
        <v>1497</v>
      </c>
      <c r="H271" s="324" t="s">
        <v>1486</v>
      </c>
      <c r="I271" s="312" t="s">
        <v>1957</v>
      </c>
      <c r="J271" s="379" t="s">
        <v>2357</v>
      </c>
      <c r="K271" s="313"/>
      <c r="L271" s="313"/>
      <c r="M271" s="292"/>
      <c r="N271" s="256"/>
      <c r="O271" s="10"/>
      <c r="P271" s="10"/>
    </row>
    <row r="272" spans="1:16" s="356" customFormat="1" ht="12.75" customHeight="1" x14ac:dyDescent="0.3">
      <c r="A272">
        <f t="shared" si="4"/>
        <v>271</v>
      </c>
      <c r="B272" t="s">
        <v>264</v>
      </c>
      <c r="C272">
        <v>2</v>
      </c>
      <c r="D272" s="3">
        <v>408</v>
      </c>
      <c r="E272" s="10">
        <f>VLOOKUP( T_Aop[[#This Row],[Id]], T_Aop[], ID_Jezik +10, 1)</f>
        <v>0</v>
      </c>
      <c r="F272" t="str">
        <f>REPT( "  ", T_Aop[[#This Row],[Aop nivo]]) &amp; VLOOKUP( T_Aop[[#This Row],[Id]], T_Aop[], ID_Jezik + 6, 1)</f>
        <v xml:space="preserve">    2. Items that will not be reclassified in the income statement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3">
      <c r="A273">
        <f t="shared" si="4"/>
        <v>272</v>
      </c>
      <c r="B273" t="s">
        <v>264</v>
      </c>
      <c r="C273">
        <v>3</v>
      </c>
      <c r="D273" s="3">
        <v>409</v>
      </c>
      <c r="E273" s="10" t="str">
        <f>VLOOKUP( T_Aop[[#This Row],[Id]], T_Aop[], ID_Jezik +10, 1)</f>
        <v>Change 330</v>
      </c>
      <c r="F273" t="str">
        <f>REPT( "  ", T_Aop[[#This Row],[Aop nivo]]) &amp; VLOOKUP( T_Aop[[#This Row],[Id]], T_Aop[], ID_Jezik + 6, 1)</f>
        <v xml:space="preserve">      2.1. Revaluation of real estate, plant, equipment and intangible assets</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3">
      <c r="A274">
        <f t="shared" si="4"/>
        <v>273</v>
      </c>
      <c r="B274" t="s">
        <v>264</v>
      </c>
      <c r="C274">
        <v>3</v>
      </c>
      <c r="D274" s="3">
        <v>410</v>
      </c>
      <c r="E274" s="10" t="str">
        <f>VLOOKUP( T_Aop[[#This Row],[Id]], T_Aop[], ID_Jezik +10, 1)</f>
        <v>Change 332 i 333</v>
      </c>
      <c r="F274" t="str">
        <f>REPT( "  ", T_Aop[[#This Row],[Aop nivo]]) &amp; VLOOKUP( T_Aop[[#This Row],[Id]], T_Aop[], ID_Jezik + 6, 1)</f>
        <v xml:space="preserve">      2.2. Increase/(decrease) in the fair value of equity instruments at fair value through other comprehensive income</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3">
      <c r="A275">
        <f t="shared" si="4"/>
        <v>274</v>
      </c>
      <c r="B275" t="s">
        <v>264</v>
      </c>
      <c r="C275">
        <v>3</v>
      </c>
      <c r="D275">
        <v>411</v>
      </c>
      <c r="E275" s="10" t="str">
        <f>VLOOKUP( T_Aop[[#This Row],[Id]], T_Aop[], ID_Jezik +10, 1)</f>
        <v>Change 339, part</v>
      </c>
      <c r="F275" t="str">
        <f>REPT( "  ", T_Aop[[#This Row],[Aop nivo]]) &amp; VLOOKUP( T_Aop[[#This Row],[Id]], T_Aop[], ID_Jezik + 6, 1)</f>
        <v xml:space="preserve">      2.3. Actuarial gains/(losses) from defined benefit plans</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3">
      <c r="A276">
        <f t="shared" si="4"/>
        <v>275</v>
      </c>
      <c r="B276" t="s">
        <v>264</v>
      </c>
      <c r="C276">
        <v>3</v>
      </c>
      <c r="D276">
        <v>412</v>
      </c>
      <c r="E276" s="10">
        <f>VLOOKUP( T_Aop[[#This Row],[Id]], T_Aop[], ID_Jezik +10, 1)</f>
        <v>0</v>
      </c>
      <c r="F276" t="str">
        <f>REPT( "  ", T_Aop[[#This Row],[Aop nivo]]) &amp; VLOOKUP( T_Aop[[#This Row],[Id]], T_Aop[], ID_Jezik + 6, 1)</f>
        <v xml:space="preserve">      2.4. Share in the other comprehensive income of the associated company and joint venture using the equity method</v>
      </c>
      <c r="G276" s="288" t="s">
        <v>1499</v>
      </c>
      <c r="H276" s="324" t="s">
        <v>1485</v>
      </c>
      <c r="I276" s="328" t="s">
        <v>1962</v>
      </c>
      <c r="J276" s="379" t="s">
        <v>2362</v>
      </c>
      <c r="K276" s="313"/>
      <c r="L276" s="313"/>
      <c r="M276" s="292"/>
      <c r="N276" s="256"/>
      <c r="O276" s="10"/>
      <c r="P276" s="10"/>
    </row>
    <row r="277" spans="1:16" s="356" customFormat="1" ht="12.75" customHeight="1" x14ac:dyDescent="0.3">
      <c r="A277">
        <f t="shared" si="4"/>
        <v>276</v>
      </c>
      <c r="B277" t="s">
        <v>264</v>
      </c>
      <c r="C277">
        <v>3</v>
      </c>
      <c r="D277">
        <v>413</v>
      </c>
      <c r="E277" s="10" t="str">
        <f>VLOOKUP( T_Aop[[#This Row],[Id]], T_Aop[], ID_Jezik +10, 1)</f>
        <v>Change 339, part</v>
      </c>
      <c r="F277" t="str">
        <f>REPT( "  ", T_Aop[[#This Row],[Aop nivo]]) &amp; VLOOKUP( T_Aop[[#This Row],[Id]], T_Aop[], ID_Jezik + 6, 1)</f>
        <v xml:space="preserve">      2.5. Other items that will not be reclassified in the income statement</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3">
      <c r="A278">
        <f t="shared" si="4"/>
        <v>277</v>
      </c>
      <c r="B278" t="s">
        <v>264</v>
      </c>
      <c r="C278">
        <v>3</v>
      </c>
      <c r="D278">
        <v>414</v>
      </c>
      <c r="E278" s="10">
        <f>VLOOKUP( T_Aop[[#This Row],[Id]], T_Aop[], ID_Jezik +10, 1)</f>
        <v>0</v>
      </c>
      <c r="F278" t="str">
        <f>REPT( "  ", T_Aop[[#This Row],[Aop nivo]]) &amp; VLOOKUP( T_Aop[[#This Row],[Id]], T_Aop[], ID_Jezik + 6, 1)</f>
        <v xml:space="preserve">      2.6. Deferred income tax related to these items</v>
      </c>
      <c r="G278" s="288" t="s">
        <v>1321</v>
      </c>
      <c r="H278" s="329" t="s">
        <v>861</v>
      </c>
      <c r="I278" s="312" t="s">
        <v>1964</v>
      </c>
      <c r="J278" s="379" t="s">
        <v>2364</v>
      </c>
      <c r="K278" s="313"/>
      <c r="L278" s="313"/>
      <c r="M278" s="292"/>
      <c r="N278" s="290"/>
      <c r="O278" s="10">
        <v>1</v>
      </c>
      <c r="P278" s="10"/>
    </row>
    <row r="279" spans="1:16" s="356" customFormat="1" ht="12.75" customHeight="1" x14ac:dyDescent="0.3">
      <c r="A279">
        <f t="shared" si="4"/>
        <v>278</v>
      </c>
      <c r="B279" t="s">
        <v>264</v>
      </c>
      <c r="C279">
        <v>1</v>
      </c>
      <c r="D279">
        <v>415</v>
      </c>
      <c r="E279" s="10">
        <f>VLOOKUP( T_Aop[[#This Row],[Id]], T_Aop[], ID_Jezik +10, 1)</f>
        <v>0</v>
      </c>
      <c r="F279" t="str">
        <f>REPT( "  ", T_Aop[[#This Row],[Aop nivo]]) &amp; VLOOKUP( T_Aop[[#This Row],[Id]], T_Aop[], ID_Jezik + 6, 1)</f>
        <v xml:space="preserve">  B. OTHER GAINS AND LOSSES OF THE PERIOD (± 401 ± 408)</v>
      </c>
      <c r="G279" s="288" t="s">
        <v>1322</v>
      </c>
      <c r="H279" s="330" t="s">
        <v>862</v>
      </c>
      <c r="I279" s="321" t="s">
        <v>1965</v>
      </c>
      <c r="J279" s="379" t="s">
        <v>2365</v>
      </c>
      <c r="K279" s="313"/>
      <c r="L279" s="313"/>
      <c r="M279" s="292"/>
      <c r="N279" s="290"/>
      <c r="O279" s="10">
        <v>1</v>
      </c>
      <c r="P279" s="10"/>
    </row>
    <row r="280" spans="1:16" s="356" customFormat="1" ht="12.75" customHeight="1" x14ac:dyDescent="0.3">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3">
      <c r="A281" s="339">
        <f t="shared" si="4"/>
        <v>280</v>
      </c>
      <c r="B281" s="339" t="s">
        <v>264</v>
      </c>
      <c r="C281" s="339">
        <v>0</v>
      </c>
      <c r="D281" s="339">
        <v>416</v>
      </c>
      <c r="E281" s="344">
        <f>VLOOKUP( T_Aop[[#This Row],[Id]], T_Aop[], ID_Jezik +10, 1)</f>
        <v>0</v>
      </c>
      <c r="F281" s="339" t="str">
        <f>REPT( "  ", T_Aop[[#This Row],[Aop nivo]]) &amp; VLOOKUP( T_Aop[[#This Row],[Id]], T_Aop[], ID_Jezik + 6, 1)</f>
        <v>C. TOTAL PROFIT / (LOSS) (400± 415)</v>
      </c>
      <c r="G281" s="312" t="s">
        <v>1323</v>
      </c>
      <c r="H281" s="320" t="s">
        <v>863</v>
      </c>
      <c r="I281" s="321" t="s">
        <v>1966</v>
      </c>
      <c r="J281" s="379" t="s">
        <v>2366</v>
      </c>
      <c r="K281" s="313"/>
      <c r="L281" s="313"/>
      <c r="M281" s="313"/>
      <c r="N281" s="345"/>
      <c r="O281" s="344">
        <v>1</v>
      </c>
      <c r="P281" s="344"/>
    </row>
    <row r="282" spans="1:16" s="356" customFormat="1" ht="12.75" customHeight="1" x14ac:dyDescent="0.3">
      <c r="A282" s="339">
        <f t="shared" si="4"/>
        <v>281</v>
      </c>
      <c r="B282" s="339" t="s">
        <v>264</v>
      </c>
      <c r="C282" s="339">
        <v>0</v>
      </c>
      <c r="D282" s="339"/>
      <c r="E282" s="344">
        <f>VLOOKUP( T_Aop[[#This Row],[Id]], T_Aop[], ID_Jezik +10, 1)</f>
        <v>0</v>
      </c>
      <c r="F282" s="339" t="str">
        <f>REPT( "  ", T_Aop[[#This Row],[Aop nivo]]) &amp; VLOOKUP( T_Aop[[#This Row],[Id]], T_Aop[], ID_Jezik + 6, 1)</f>
        <v/>
      </c>
      <c r="G282" s="312" t="s">
        <v>786</v>
      </c>
      <c r="H282" s="320" t="s">
        <v>786</v>
      </c>
      <c r="I282" s="312"/>
      <c r="J282" s="379"/>
      <c r="K282" s="313"/>
      <c r="L282" s="313"/>
      <c r="M282" s="313"/>
      <c r="N282" s="345"/>
      <c r="O282" s="344">
        <v>1</v>
      </c>
      <c r="P282" s="344"/>
    </row>
    <row r="283" spans="1:16" s="356" customFormat="1" ht="12.75" customHeight="1" x14ac:dyDescent="0.3">
      <c r="A283" s="339">
        <f t="shared" si="4"/>
        <v>282</v>
      </c>
      <c r="B283" s="339" t="s">
        <v>264</v>
      </c>
      <c r="C283" s="339">
        <v>0</v>
      </c>
      <c r="D283" s="339">
        <v>417</v>
      </c>
      <c r="E283" s="344">
        <f>VLOOKUP( T_Aop[[#This Row],[Id]], T_Aop[], ID_Jezik +10, 1)</f>
        <v>0</v>
      </c>
      <c r="F283" s="339" t="str">
        <f>REPT( "  ", T_Aop[[#This Row],[Aop nivo]]) &amp; VLOOKUP( T_Aop[[#This Row],[Id]], T_Aop[], ID_Jezik + 6, 1)</f>
        <v>Share of the total profit/loss which belongs to the majority shareholders</v>
      </c>
      <c r="G283" s="312" t="s">
        <v>1324</v>
      </c>
      <c r="H283" s="320" t="s">
        <v>1316</v>
      </c>
      <c r="I283" s="346" t="s">
        <v>2707</v>
      </c>
      <c r="J283" s="379" t="s">
        <v>2367</v>
      </c>
      <c r="K283" s="313"/>
      <c r="L283" s="313"/>
      <c r="M283" s="313"/>
      <c r="N283" s="345"/>
      <c r="O283" s="344">
        <v>1</v>
      </c>
      <c r="P283" s="344"/>
    </row>
    <row r="284" spans="1:16" s="356" customFormat="1" ht="12.75" customHeight="1" x14ac:dyDescent="0.3">
      <c r="A284" s="339">
        <f t="shared" si="4"/>
        <v>283</v>
      </c>
      <c r="B284" s="339" t="s">
        <v>264</v>
      </c>
      <c r="C284" s="339">
        <v>0</v>
      </c>
      <c r="D284" s="339">
        <v>418</v>
      </c>
      <c r="E284" s="344">
        <f>VLOOKUP( T_Aop[[#This Row],[Id]], T_Aop[], ID_Jezik +10, 1)</f>
        <v>0</v>
      </c>
      <c r="F284" s="339" t="str">
        <f>REPT( "  ", T_Aop[[#This Row],[Aop nivo]]) &amp; VLOOKUP( T_Aop[[#This Row],[Id]], T_Aop[], ID_Jezik + 6, 1)</f>
        <v>Share of the total profit/loss which belongs to the minority shareholders</v>
      </c>
      <c r="G284" s="312" t="s">
        <v>1325</v>
      </c>
      <c r="H284" s="320" t="s">
        <v>864</v>
      </c>
      <c r="I284" s="346" t="s">
        <v>2708</v>
      </c>
      <c r="J284" s="379" t="s">
        <v>2368</v>
      </c>
      <c r="K284" s="313"/>
      <c r="L284" s="313"/>
      <c r="M284" s="313"/>
      <c r="N284" s="345"/>
      <c r="O284" s="344">
        <v>1</v>
      </c>
      <c r="P284" s="344"/>
    </row>
    <row r="285" spans="1:16" s="356" customFormat="1" ht="32.25" customHeight="1" x14ac:dyDescent="0.3">
      <c r="A285" s="339">
        <f t="shared" si="4"/>
        <v>284</v>
      </c>
      <c r="B285" s="339" t="s">
        <v>133</v>
      </c>
      <c r="C285" s="339">
        <v>0</v>
      </c>
      <c r="D285" s="339">
        <v>501</v>
      </c>
      <c r="E285" s="344" t="str">
        <f>VLOOKUP( T_Aop[[#This Row],[Id]], T_Aop[], ID_Jezik +10, 1)</f>
        <v>A_x000D_
I</v>
      </c>
      <c r="F285" s="365" t="str">
        <f>REPT( "  ", T_Aop[[#This Row],[Aop nivo]]) &amp; VLOOKUP( T_Aop[[#This Row],[Id]], T_Aop[], ID_Jezik + 6, 1)</f>
        <v>CASH FLOWS FROM OPERATING ACTIVITIES                                                                                                                                                 
Cash proceeds from operating activities  (502 to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3">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Proceeds from sale and advances (prepayments) on domestic market</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3">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Proceeds from sale and advances (prepayments) on foreign market</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3">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Proceeds from premiums, subventions, grants, etc.</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3">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Other proceeds from operating activities</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3">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Cash outflows from operating activities (507 to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3">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Payments to suppliers and given advances (prepayments) on domestic market</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3">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Payments to suppliers and given advances (prepayments) on foreign market</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3">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Payment of interests</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3">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Payments for employee wages, salaries, and other employee benefits</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3">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Payment of income taxes</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3">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Other payments of operating activities</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3">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 inflow of cash from operating activities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3">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 outflow of cash from operating activities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3">
      <c r="A299" s="339">
        <f t="shared" si="4"/>
        <v>298</v>
      </c>
      <c r="B299" s="339" t="s">
        <v>133</v>
      </c>
      <c r="C299" s="339">
        <v>0</v>
      </c>
      <c r="D299" s="339">
        <v>515</v>
      </c>
      <c r="E299" s="344" t="str">
        <f>VLOOKUP( T_Aop[[#This Row],[Id]], T_Aop[], ID_Jezik +10, 1)</f>
        <v>B_x000D_
I</v>
      </c>
      <c r="F299" s="365" t="str">
        <f>REPT( "  ", T_Aop[[#This Row],[Aop nivo]]) &amp; VLOOKUP( T_Aop[[#This Row],[Id]], T_Aop[], ID_Jezik + 6, 1)</f>
        <v>CASH FLOWS FROM INVESTING ACTIVITIES  Cash proceeds from investing activities  (516 to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3">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Proceeds from sale of shares and capital stakes in subsidiaries, affiliates and joint ventures</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3">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Proceeds from sale of real-estates, plant and equipment</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3">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Proceeds from sale of investment properties</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3">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Proceeds from sale of biological assets</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3">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Proceeds from sale of intangible assets</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3">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Proceeds from sale of fixed assets available for sale</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3">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Proceeds from financial assets held at fair value through other comprehensive income</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3">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Proceeds from financial assets held at fair value through profit or loss</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3">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Proceeds from other financial assets at amortised cost</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3">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Proceeds from lease (principal)</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3">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Proceeds from lease (interest)</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3">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Proceeds from interests</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3">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Proceeds from dividends and participation in profit</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3">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Proceeds from financial derivatives</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3">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Other proceeds from investment activities</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3">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Cash outflow from investing activities  (532 to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3">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Outflows from purchase of shares and capital stakes in subsidiaries, affiliates and joint ventures</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3">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Оutflows from purchase of real-estates, plant and equipment</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3">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Outflows from purchase of investment properties</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3">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Outflows from purchase of biological assets</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3">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Outflows from purchase of intangible assets</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3">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Outflows from financial assets held at fair value through other comprehensive income</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3">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Outflows from financial assets held at fair value through profit or loss</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3">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Outflows from other financial assets at amortised cost</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3">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Outflows from financial derivatives</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3">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Outflows arising from other investment activities</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3">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 cash inflow from investing activities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3">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 cash outflow from investing activities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3">
      <c r="A328" s="339">
        <f t="shared" si="5"/>
        <v>327</v>
      </c>
      <c r="B328" s="339" t="s">
        <v>133</v>
      </c>
      <c r="C328" s="339">
        <v>0</v>
      </c>
      <c r="D328" s="339">
        <v>544</v>
      </c>
      <c r="E328" s="344" t="str">
        <f>VLOOKUP( T_Aop[[#This Row],[Id]], T_Aop[], ID_Jezik +10, 1)</f>
        <v>B_x000D_
I</v>
      </c>
      <c r="F328" s="365" t="str">
        <f>REPT( "  ", T_Aop[[#This Row],[Aop nivo]]) &amp; VLOOKUP( T_Aop[[#This Row],[Id]], T_Aop[], ID_Jezik + 6, 1)</f>
        <v>CASH FLOW FROM FINANCING ACTIVITIES  Cash inflow from financing activities  (545 to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3">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Inflows from increase in share capital</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3">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Inflows from sale of redeemed shares</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3">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Inflows from long-term loans</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3">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Inflows from short-term loans</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3">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Inflows from issued debt instruments</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3">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Other inflows from financing activities</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3">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Cash outflow from financing activities (552 to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3">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Outflow from redemption of own shares and capital stakes</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3">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Outflow from long-term loans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3">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Outflow from short-term loans</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3">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Outflow from finance lease</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3">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Outflow from debt instruments</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3">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Outflow arising from dividends</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3">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Other outflows from financing activities</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3">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 inflow of cash from financing activities (544 – 551) </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3">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 outflow of cash from financing activities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3">
      <c r="A345" s="339">
        <f t="shared" si="5"/>
        <v>344</v>
      </c>
      <c r="B345" s="339" t="s">
        <v>133</v>
      </c>
      <c r="C345" s="339">
        <v>0</v>
      </c>
      <c r="D345" s="339">
        <v>561</v>
      </c>
      <c r="E345" s="344" t="str">
        <f>VLOOKUP( T_Aop[[#This Row],[Id]], T_Aop[], ID_Jezik +10, 1)</f>
        <v>G</v>
      </c>
      <c r="F345" s="365" t="str">
        <f>REPT( "  ", T_Aop[[#This Row],[Aop nivo]]) &amp; VLOOKUP( T_Aop[[#This Row],[Id]], T_Aop[], ID_Jezik + 6, 1)</f>
        <v>TOTAL CASH INFLOW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3">
      <c r="A346" s="339">
        <f t="shared" si="5"/>
        <v>345</v>
      </c>
      <c r="B346" s="339" t="s">
        <v>133</v>
      </c>
      <c r="C346" s="339">
        <v>0</v>
      </c>
      <c r="D346" s="339">
        <v>562</v>
      </c>
      <c r="E346" s="344" t="str">
        <f>VLOOKUP( T_Aop[[#This Row],[Id]], T_Aop[], ID_Jezik +10, 1)</f>
        <v>D</v>
      </c>
      <c r="F346" s="365" t="str">
        <f>REPT( "  ", T_Aop[[#This Row],[Aop nivo]]) &amp; VLOOKUP( T_Aop[[#This Row],[Id]], T_Aop[], ID_Jezik + 6, 1)</f>
        <v>TOTAL CASH OUTFLOW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3">
      <c r="A347" s="339">
        <f t="shared" si="5"/>
        <v>346</v>
      </c>
      <c r="B347" s="339" t="s">
        <v>133</v>
      </c>
      <c r="C347" s="339">
        <v>0</v>
      </c>
      <c r="D347" s="339">
        <v>563</v>
      </c>
      <c r="E347" s="344" t="str">
        <f>VLOOKUP( T_Aop[[#This Row],[Id]], T_Aop[], ID_Jezik +10, 1)</f>
        <v>Đ</v>
      </c>
      <c r="F347" s="365" t="str">
        <f>REPT( "  ", T_Aop[[#This Row],[Aop nivo]]) &amp; VLOOKUP( T_Aop[[#This Row],[Id]], T_Aop[], ID_Jezik + 6, 1)</f>
        <v>NET CASH INFLOW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3">
      <c r="A348" s="339">
        <f t="shared" si="5"/>
        <v>347</v>
      </c>
      <c r="B348" s="339" t="s">
        <v>133</v>
      </c>
      <c r="C348" s="339">
        <v>0</v>
      </c>
      <c r="D348" s="339">
        <v>564</v>
      </c>
      <c r="E348" s="344" t="str">
        <f>VLOOKUP( T_Aop[[#This Row],[Id]], T_Aop[], ID_Jezik +10, 1)</f>
        <v>E</v>
      </c>
      <c r="F348" s="365" t="str">
        <f>REPT( "  ", T_Aop[[#This Row],[Aop nivo]]) &amp; VLOOKUP( T_Aop[[#This Row],[Id]], T_Aop[], ID_Jezik + 6, 1)</f>
        <v>NET CASH OUTFLOW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3">
      <c r="A349" s="339">
        <f t="shared" si="5"/>
        <v>348</v>
      </c>
      <c r="B349" s="339" t="s">
        <v>133</v>
      </c>
      <c r="C349" s="339">
        <v>0</v>
      </c>
      <c r="D349" s="339">
        <v>565</v>
      </c>
      <c r="E349" s="344" t="str">
        <f>VLOOKUP( T_Aop[[#This Row],[Id]], T_Aop[], ID_Jezik +10, 1)</f>
        <v>Ž</v>
      </c>
      <c r="F349" s="365" t="str">
        <f>REPT( "  ", T_Aop[[#This Row],[Aop nivo]]) &amp; VLOOKUP( T_Aop[[#This Row],[Id]], T_Aop[], ID_Jezik + 6, 1)</f>
        <v>CASH AT THE BEGINNING OF REPORTING PERIOD</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3">
      <c r="A350" s="339">
        <f t="shared" si="5"/>
        <v>349</v>
      </c>
      <c r="B350" s="339" t="s">
        <v>133</v>
      </c>
      <c r="C350" s="339">
        <v>0</v>
      </c>
      <c r="D350" s="339">
        <v>566</v>
      </c>
      <c r="E350" s="344" t="str">
        <f>VLOOKUP( T_Aop[[#This Row],[Id]], T_Aop[], ID_Jezik +10, 1)</f>
        <v>Z</v>
      </c>
      <c r="F350" s="365" t="str">
        <f>REPT( "  ", T_Aop[[#This Row],[Aop nivo]]) &amp; VLOOKUP( T_Aop[[#This Row],[Id]], T_Aop[], ID_Jezik + 6, 1)</f>
        <v>FOREIGN EXCHANGE GAINS FROM TRANSLATION OF CASH</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3">
      <c r="A351" s="339">
        <f t="shared" si="5"/>
        <v>350</v>
      </c>
      <c r="B351" s="339" t="s">
        <v>133</v>
      </c>
      <c r="C351" s="339">
        <v>0</v>
      </c>
      <c r="D351" s="339">
        <v>567</v>
      </c>
      <c r="E351" s="344" t="str">
        <f>VLOOKUP( T_Aop[[#This Row],[Id]], T_Aop[], ID_Jezik +10, 1)</f>
        <v>I</v>
      </c>
      <c r="F351" s="365" t="str">
        <f>REPT( "  ", T_Aop[[#This Row],[Aop nivo]]) &amp; VLOOKUP( T_Aop[[#This Row],[Id]], T_Aop[], ID_Jezik + 6, 1)</f>
        <v>FOREIGN EXCHANGE LOSSES FROM TRANSLATION OF CASH</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3">
      <c r="A352" s="347">
        <f t="shared" si="5"/>
        <v>351</v>
      </c>
      <c r="B352" s="347" t="s">
        <v>133</v>
      </c>
      <c r="C352" s="347">
        <v>0</v>
      </c>
      <c r="D352" s="347">
        <v>568</v>
      </c>
      <c r="E352" s="348" t="str">
        <f>VLOOKUP( T_Aop[[#This Row],[Id]], T_Aop[], ID_Jezik +10, 1)</f>
        <v>J</v>
      </c>
      <c r="F352" s="366" t="str">
        <f>REPT( "  ", T_Aop[[#This Row],[Aop nivo]]) &amp; VLOOKUP( T_Aop[[#This Row],[Id]], T_Aop[], ID_Jezik + 6, 1)</f>
        <v>CASH AT THE END OF REPORTING PERIOD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7.6" x14ac:dyDescent="0.3">
      <c r="A353">
        <f t="shared" si="5"/>
        <v>352</v>
      </c>
      <c r="B353" t="s">
        <v>134</v>
      </c>
      <c r="C353">
        <v>0</v>
      </c>
      <c r="D353">
        <v>601</v>
      </c>
      <c r="E353" s="2" t="str">
        <f>VLOOKUP( T_Aop[[#This Row],[Id]], T_Aop[], ID_Jezik +10, 1)</f>
        <v>010</v>
      </c>
      <c r="F353" t="str">
        <f>REPT( "  ", T_Aop[[#This Row],[Aop nivo]]) &amp; VLOOKUP( T_Aop[[#This Row],[Id]], T_Aop[], ID_Jezik + 6, 1)</f>
        <v>Investment in research and development (debit turnover without opening balance)</v>
      </c>
      <c r="G353" s="288" t="s">
        <v>517</v>
      </c>
      <c r="H353" s="56" t="s">
        <v>518</v>
      </c>
      <c r="I353" s="56" t="s">
        <v>519</v>
      </c>
      <c r="J353" s="382" t="s">
        <v>2588</v>
      </c>
      <c r="K353" s="292" t="s">
        <v>721</v>
      </c>
      <c r="L353" s="292" t="s">
        <v>721</v>
      </c>
      <c r="M353" s="292" t="s">
        <v>721</v>
      </c>
      <c r="N353" s="331">
        <v>10</v>
      </c>
      <c r="O353" s="10"/>
      <c r="P353" s="10"/>
    </row>
    <row r="354" spans="1:16" ht="14.25" customHeight="1" x14ac:dyDescent="0.3">
      <c r="A354">
        <f t="shared" si="5"/>
        <v>353</v>
      </c>
      <c r="B354" t="s">
        <v>134</v>
      </c>
      <c r="C354">
        <v>0</v>
      </c>
      <c r="D354">
        <v>602</v>
      </c>
      <c r="E354" s="2" t="str">
        <f>VLOOKUP( T_Aop[[#This Row],[Id]], T_Aop[], ID_Jezik +10, 1)</f>
        <v>201, part 200</v>
      </c>
      <c r="F354" t="str">
        <f>REPT( "  ", T_Aop[[#This Row],[Aop nivo]]) &amp; VLOOKUP( T_Aop[[#This Row],[Id]], T_Aop[], ID_Jezik + 6, 1)</f>
        <v>Customers and customers - related legal entities from Republic of Srpska (RS) (debit turnover without opening balance)</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3">
      <c r="A355">
        <f t="shared" si="5"/>
        <v>354</v>
      </c>
      <c r="B355" t="s">
        <v>134</v>
      </c>
      <c r="C355">
        <v>0</v>
      </c>
      <c r="D355">
        <v>603</v>
      </c>
      <c r="E355" s="2" t="str">
        <f>VLOOKUP( T_Aop[[#This Row],[Id]], T_Aop[], ID_Jezik +10, 1)</f>
        <v>202, part 200</v>
      </c>
      <c r="F355" t="str">
        <f>REPT( "  ", T_Aop[[#This Row],[Aop nivo]]) &amp; VLOOKUP( T_Aop[[#This Row],[Id]], T_Aop[], ID_Jezik + 6, 1)</f>
        <v>Customers and customers - related legal entities from Federation of BiH (FBiH) (debit turnover without opening balance)</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3">
      <c r="A356">
        <f t="shared" si="5"/>
        <v>355</v>
      </c>
      <c r="B356" t="s">
        <v>134</v>
      </c>
      <c r="C356">
        <v>0</v>
      </c>
      <c r="D356">
        <v>604</v>
      </c>
      <c r="E356" s="2" t="str">
        <f>VLOOKUP( T_Aop[[#This Row],[Id]], T_Aop[], ID_Jezik +10, 1)</f>
        <v>203, part 200</v>
      </c>
      <c r="F356" t="str">
        <f>REPT( "  ", T_Aop[[#This Row],[Aop nivo]]) &amp; VLOOKUP( T_Aop[[#This Row],[Id]], T_Aop[], ID_Jezik + 6, 1)</f>
        <v>Customers and customers - related legal entities from The Brčko District (BD) (debit turnover without opening balance)</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3">
      <c r="A357">
        <f t="shared" si="5"/>
        <v>356</v>
      </c>
      <c r="B357" t="s">
        <v>134</v>
      </c>
      <c r="C357">
        <v>0</v>
      </c>
      <c r="D357">
        <v>605</v>
      </c>
      <c r="E357" s="2" t="str">
        <f>VLOOKUP( T_Aop[[#This Row],[Id]], T_Aop[], ID_Jezik +10, 1)</f>
        <v>432, part 431</v>
      </c>
      <c r="F357" t="str">
        <f>REPT( "  ", T_Aop[[#This Row],[Aop nivo]]) &amp; VLOOKUP( T_Aop[[#This Row],[Id]], T_Aop[], ID_Jezik + 6, 1)</f>
        <v>Suppliers and suppliers - related legal entities from RS (credit turnover without opening balance)</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3">
      <c r="A358">
        <f t="shared" si="5"/>
        <v>357</v>
      </c>
      <c r="B358" t="s">
        <v>134</v>
      </c>
      <c r="C358">
        <v>0</v>
      </c>
      <c r="D358" s="2">
        <v>606</v>
      </c>
      <c r="E358" s="2" t="str">
        <f>VLOOKUP( T_Aop[[#This Row],[Id]], T_Aop[], ID_Jezik +10, 1)</f>
        <v>433, part 431</v>
      </c>
      <c r="F358" t="str">
        <f>REPT( "  ", T_Aop[[#This Row],[Aop nivo]]) &amp; VLOOKUP( T_Aop[[#This Row],[Id]], T_Aop[], ID_Jezik + 6, 1)</f>
        <v>Suppliers and suppliers - related legal entities from FBiH (credit turnover without opening balance)</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3">
      <c r="A359">
        <f t="shared" si="5"/>
        <v>358</v>
      </c>
      <c r="B359" t="s">
        <v>134</v>
      </c>
      <c r="C359">
        <v>0</v>
      </c>
      <c r="D359" s="2">
        <v>607</v>
      </c>
      <c r="E359" s="2" t="str">
        <f>VLOOKUP( T_Aop[[#This Row],[Id]], T_Aop[], ID_Jezik +10, 1)</f>
        <v>434, part 431</v>
      </c>
      <c r="F359" t="str">
        <f>REPT( "  ", T_Aop[[#This Row],[Aop nivo]]) &amp; VLOOKUP( T_Aop[[#This Row],[Id]], T_Aop[], ID_Jezik + 6, 1)</f>
        <v>Suppliers and suppliers - related legal entities from BD (credit turnover without opening balance)</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3">
      <c r="A360">
        <f t="shared" si="5"/>
        <v>359</v>
      </c>
      <c r="B360" t="s">
        <v>134</v>
      </c>
      <c r="C360">
        <v>0</v>
      </c>
      <c r="D360" s="561">
        <v>608</v>
      </c>
      <c r="E360" s="2" t="str">
        <f>VLOOKUP( T_Aop[[#This Row],[Id]], T_Aop[], ID_Jezik +10, 1)</f>
        <v>601, part 600, part 605</v>
      </c>
      <c r="F360" t="str">
        <f>REPT( "  ", T_Aop[[#This Row],[Aop nivo]]) &amp; VLOOKUP( T_Aop[[#This Row],[Id]], T_Aop[], ID_Jezik + 6, 1)</f>
        <v>Income from sales of merchandise goods in RS and income from sales of merchandise goods to related legal entities in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3">
      <c r="A361">
        <f t="shared" si="5"/>
        <v>360</v>
      </c>
      <c r="B361" t="s">
        <v>134</v>
      </c>
      <c r="C361">
        <v>0</v>
      </c>
      <c r="D361" s="561">
        <v>609</v>
      </c>
      <c r="E361" s="2" t="str">
        <f>VLOOKUP( T_Aop[[#This Row],[Id]], T_Aop[], ID_Jezik +10, 1)</f>
        <v>602, part 600, part 605</v>
      </c>
      <c r="F361" t="str">
        <f>REPT( "  ", T_Aop[[#This Row],[Aop nivo]]) &amp; VLOOKUP( T_Aop[[#This Row],[Id]], T_Aop[], ID_Jezik + 6, 1)</f>
        <v>Income from sales of merchandise goods in FBiH and income from sales of merchandise goods to related legal entities in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3">
      <c r="A362">
        <f t="shared" si="5"/>
        <v>361</v>
      </c>
      <c r="B362" t="s">
        <v>134</v>
      </c>
      <c r="C362">
        <v>0</v>
      </c>
      <c r="D362" s="561">
        <v>610</v>
      </c>
      <c r="E362" s="2" t="str">
        <f>VLOOKUP( T_Aop[[#This Row],[Id]], T_Aop[], ID_Jezik +10, 1)</f>
        <v>603, part 600, part 605</v>
      </c>
      <c r="F362" t="str">
        <f>REPT( "  ", T_Aop[[#This Row],[Aop nivo]]) &amp; VLOOKUP( T_Aop[[#This Row],[Id]], T_Aop[], ID_Jezik + 6, 1)</f>
        <v>Income from sales of merchandise goods in BD and income from sales of merchandise goods to related legal entities in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3">
      <c r="A363">
        <f t="shared" si="5"/>
        <v>362</v>
      </c>
      <c r="B363" t="s">
        <v>134</v>
      </c>
      <c r="C363">
        <v>0</v>
      </c>
      <c r="D363" s="561">
        <v>611</v>
      </c>
      <c r="E363" s="2" t="str">
        <f>VLOOKUP( T_Aop[[#This Row],[Id]], T_Aop[], ID_Jezik +10, 1)</f>
        <v>611, part 610, part 615</v>
      </c>
      <c r="F363" t="str">
        <f>REPT( "  ", T_Aop[[#This Row],[Aop nivo]]) &amp; VLOOKUP( T_Aop[[#This Row],[Id]], T_Aop[], ID_Jezik + 6, 1)</f>
        <v>Income from sales of products in RS and income from sales of products to related legal entities in RS</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3">
      <c r="A364">
        <f t="shared" si="5"/>
        <v>363</v>
      </c>
      <c r="B364" t="s">
        <v>134</v>
      </c>
      <c r="C364">
        <v>0</v>
      </c>
      <c r="D364" s="561">
        <v>612</v>
      </c>
      <c r="E364" s="2" t="str">
        <f>VLOOKUP( T_Aop[[#This Row],[Id]], T_Aop[], ID_Jezik +10, 1)</f>
        <v>612, part 610, part 615</v>
      </c>
      <c r="F364" t="str">
        <f>REPT( "  ", T_Aop[[#This Row],[Aop nivo]]) &amp; VLOOKUP( T_Aop[[#This Row],[Id]], T_Aop[], ID_Jezik + 6, 1)</f>
        <v>Income from sales of products in FBiH and income from sales of products to related legal entities in FBiH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3">
      <c r="A365">
        <f t="shared" si="5"/>
        <v>364</v>
      </c>
      <c r="B365" t="s">
        <v>134</v>
      </c>
      <c r="C365">
        <v>0</v>
      </c>
      <c r="D365" s="561">
        <v>613</v>
      </c>
      <c r="E365" s="2" t="str">
        <f>VLOOKUP( T_Aop[[#This Row],[Id]], T_Aop[], ID_Jezik +10, 1)</f>
        <v>613, part 610, part 615</v>
      </c>
      <c r="F365" t="str">
        <f>REPT( "  ", T_Aop[[#This Row],[Aop nivo]]) &amp; VLOOKUP( T_Aop[[#This Row],[Id]], T_Aop[], ID_Jezik + 6, 1)</f>
        <v>Income from sales of products in BD and income from sales of products to related legal entities in BD</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3">
      <c r="A366">
        <f t="shared" si="5"/>
        <v>365</v>
      </c>
      <c r="B366" t="s">
        <v>134</v>
      </c>
      <c r="C366">
        <v>0</v>
      </c>
      <c r="D366" s="561">
        <v>614</v>
      </c>
      <c r="E366" s="2" t="str">
        <f>VLOOKUP( T_Aop[[#This Row],[Id]], T_Aop[], ID_Jezik +10, 1)</f>
        <v>621, part 620, part 625</v>
      </c>
      <c r="F366" t="str">
        <f>REPT( "  ", T_Aop[[#This Row],[Aop nivo]]) &amp; VLOOKUP( T_Aop[[#This Row],[Id]], T_Aop[], ID_Jezik + 6, 1)</f>
        <v>Income from sales of services in RS and income from sales of services  to related legal entities in RS</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3">
      <c r="A367">
        <f t="shared" si="5"/>
        <v>366</v>
      </c>
      <c r="B367" t="s">
        <v>134</v>
      </c>
      <c r="C367">
        <v>0</v>
      </c>
      <c r="D367" s="561">
        <v>615</v>
      </c>
      <c r="E367" s="2" t="str">
        <f>VLOOKUP( T_Aop[[#This Row],[Id]], T_Aop[], ID_Jezik +10, 1)</f>
        <v>622, part 620, part 625</v>
      </c>
      <c r="F367" t="str">
        <f>REPT( "  ", T_Aop[[#This Row],[Aop nivo]]) &amp; VLOOKUP( T_Aop[[#This Row],[Id]], T_Aop[], ID_Jezik + 6, 1)</f>
        <v>Income from sales of services in FBIH and income from sales of services  to related legal entities in FBIH</v>
      </c>
      <c r="G367" s="540" t="s">
        <v>2952</v>
      </c>
      <c r="H367" s="301" t="s">
        <v>2992</v>
      </c>
      <c r="I367" s="555" t="s">
        <v>3000</v>
      </c>
      <c r="J367" s="382" t="s">
        <v>2602</v>
      </c>
      <c r="K367" s="537" t="s">
        <v>2955</v>
      </c>
      <c r="L367" s="537" t="s">
        <v>2958</v>
      </c>
      <c r="M367" s="537" t="s">
        <v>2961</v>
      </c>
      <c r="N367" s="539" t="s">
        <v>2964</v>
      </c>
      <c r="O367" s="10"/>
      <c r="P367" s="10" t="s">
        <v>741</v>
      </c>
    </row>
    <row r="368" spans="1:16" x14ac:dyDescent="0.3">
      <c r="A368">
        <f t="shared" si="5"/>
        <v>367</v>
      </c>
      <c r="B368" t="s">
        <v>134</v>
      </c>
      <c r="C368">
        <v>0</v>
      </c>
      <c r="D368" s="561">
        <v>616</v>
      </c>
      <c r="E368" s="2" t="str">
        <f>VLOOKUP( T_Aop[[#This Row],[Id]], T_Aop[], ID_Jezik +10, 1)</f>
        <v>623, part 620, part 625</v>
      </c>
      <c r="F368" t="str">
        <f>REPT( "  ", T_Aop[[#This Row],[Aop nivo]]) &amp; VLOOKUP( T_Aop[[#This Row],[Id]], T_Aop[], ID_Jezik + 6, 1)</f>
        <v>Income from sales of services in BD and income from sales of services  to related legal entities in BD</v>
      </c>
      <c r="G368" s="540" t="s">
        <v>2953</v>
      </c>
      <c r="H368" s="301" t="s">
        <v>2993</v>
      </c>
      <c r="I368" s="555" t="s">
        <v>3001</v>
      </c>
      <c r="J368" s="383" t="s">
        <v>2603</v>
      </c>
      <c r="K368" s="537" t="s">
        <v>2956</v>
      </c>
      <c r="L368" s="537" t="s">
        <v>2959</v>
      </c>
      <c r="M368" s="537" t="s">
        <v>2962</v>
      </c>
      <c r="N368" s="539" t="s">
        <v>2965</v>
      </c>
      <c r="O368" s="10"/>
      <c r="P368" s="10"/>
    </row>
    <row r="369" spans="1:16" ht="27.6" x14ac:dyDescent="0.3">
      <c r="A369">
        <f t="shared" si="5"/>
        <v>368</v>
      </c>
      <c r="B369" t="s">
        <v>134</v>
      </c>
      <c r="C369">
        <v>0</v>
      </c>
      <c r="D369" s="561">
        <v>617</v>
      </c>
      <c r="E369" s="2">
        <f>VLOOKUP( T_Aop[[#This Row],[Id]], T_Aop[], ID_Jezik +10, 1)</f>
        <v>65</v>
      </c>
      <c r="F369" t="str">
        <f>REPT( "  ", T_Aop[[#This Row],[Aop nivo]]) &amp; VLOOKUP( T_Aop[[#This Row],[Id]], T_Aop[], ID_Jezik + 6, 1)</f>
        <v>OTHER OPERATING INCOME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3">
      <c r="A370">
        <f t="shared" si="5"/>
        <v>369</v>
      </c>
      <c r="B370" t="s">
        <v>134</v>
      </c>
      <c r="C370">
        <v>1</v>
      </c>
      <c r="D370" s="2">
        <v>618</v>
      </c>
      <c r="E370" s="2">
        <f>VLOOKUP( T_Aop[[#This Row],[Id]], T_Aop[], ID_Jezik +10, 1)</f>
        <v>650</v>
      </c>
      <c r="F370" t="str">
        <f>REPT( "  ", T_Aop[[#This Row],[Aop nivo]]) &amp; VLOOKUP( T_Aop[[#This Row],[Id]], T_Aop[], ID_Jezik + 6, 1)</f>
        <v xml:space="preserve">  a) Income from premiums, subsidies, grants, vacation allowances, compensations and tax returns</v>
      </c>
      <c r="G370" s="288" t="s">
        <v>547</v>
      </c>
      <c r="H370" s="56" t="s">
        <v>548</v>
      </c>
      <c r="I370" s="56" t="s">
        <v>363</v>
      </c>
      <c r="J370" s="383" t="s">
        <v>2604</v>
      </c>
      <c r="K370" s="292">
        <v>650</v>
      </c>
      <c r="L370" s="302">
        <v>650</v>
      </c>
      <c r="M370" s="292">
        <v>650</v>
      </c>
      <c r="N370" s="333">
        <v>650</v>
      </c>
      <c r="O370" s="10"/>
      <c r="P370" s="10"/>
    </row>
    <row r="371" spans="1:16" ht="17.25" customHeight="1" x14ac:dyDescent="0.3">
      <c r="A371">
        <f t="shared" si="5"/>
        <v>370</v>
      </c>
      <c r="B371" t="s">
        <v>134</v>
      </c>
      <c r="C371">
        <v>2</v>
      </c>
      <c r="D371" s="2">
        <v>619</v>
      </c>
      <c r="E371" s="2" t="str">
        <f>VLOOKUP( T_Aop[[#This Row],[Id]], T_Aop[], ID_Jezik +10, 1)</f>
        <v>part 650</v>
      </c>
      <c r="F371" t="str">
        <f>REPT( "  ", T_Aop[[#This Row],[Aop nivo]]) &amp; VLOOKUP( T_Aop[[#This Row],[Id]], T_Aop[], ID_Jezik + 6, 1)</f>
        <v xml:space="preserve">    Of which: income from product subsidies1 (subsidies that could be displayed per product unit, e.g. traveler ticket, flour, bread, milk, etc.)</v>
      </c>
      <c r="G371" s="288" t="s">
        <v>3012</v>
      </c>
      <c r="H371" s="56" t="s">
        <v>3014</v>
      </c>
      <c r="I371" s="56" t="s">
        <v>3016</v>
      </c>
      <c r="J371" s="382" t="s">
        <v>3018</v>
      </c>
      <c r="K371" s="292" t="s">
        <v>36</v>
      </c>
      <c r="L371" s="302" t="s">
        <v>675</v>
      </c>
      <c r="M371" s="292" t="s">
        <v>357</v>
      </c>
      <c r="N371" s="66" t="s">
        <v>2637</v>
      </c>
      <c r="O371" s="10"/>
      <c r="P371" s="10">
        <v>1</v>
      </c>
    </row>
    <row r="372" spans="1:16" ht="28.8" x14ac:dyDescent="0.3">
      <c r="A372">
        <f t="shared" si="5"/>
        <v>371</v>
      </c>
      <c r="B372" t="s">
        <v>134</v>
      </c>
      <c r="C372">
        <v>2</v>
      </c>
      <c r="D372" s="2">
        <v>620</v>
      </c>
      <c r="E372" s="2" t="str">
        <f>VLOOKUP( T_Aop[[#This Row],[Id]], T_Aop[], ID_Jezik +10, 1)</f>
        <v>part 650</v>
      </c>
      <c r="F372" t="str">
        <f>REPT( "  ", T_Aop[[#This Row],[Aop nivo]]) &amp; VLOOKUP( T_Aop[[#This Row],[Id]], T_Aop[], ID_Jezik + 6, 1)</f>
        <v xml:space="preserve">    Of which: income from subsidies given for production2 (hiring, salary, interest rate, reduction of pollution, etc.)</v>
      </c>
      <c r="G372" s="288" t="s">
        <v>3013</v>
      </c>
      <c r="H372" s="56" t="s">
        <v>3015</v>
      </c>
      <c r="I372" s="56" t="s">
        <v>3017</v>
      </c>
      <c r="J372" s="383" t="s">
        <v>3019</v>
      </c>
      <c r="K372" s="302" t="s">
        <v>36</v>
      </c>
      <c r="L372" s="292" t="s">
        <v>675</v>
      </c>
      <c r="M372" s="292" t="s">
        <v>357</v>
      </c>
      <c r="N372" s="332" t="s">
        <v>2637</v>
      </c>
      <c r="O372" s="10"/>
      <c r="P372" s="10">
        <v>1</v>
      </c>
    </row>
    <row r="373" spans="1:16" x14ac:dyDescent="0.3">
      <c r="A373">
        <f t="shared" si="5"/>
        <v>372</v>
      </c>
      <c r="B373" t="s">
        <v>134</v>
      </c>
      <c r="C373">
        <v>1</v>
      </c>
      <c r="D373" s="2">
        <v>621</v>
      </c>
      <c r="E373" s="2">
        <f>VLOOKUP( T_Aop[[#This Row],[Id]], T_Aop[], ID_Jezik +10, 1)</f>
        <v>651</v>
      </c>
      <c r="F373" t="str">
        <f>REPT( "  ", T_Aop[[#This Row],[Aop nivo]]) &amp; VLOOKUP( T_Aop[[#This Row],[Id]], T_Aop[], ID_Jezik + 6, 1)</f>
        <v xml:space="preserve">  b) Income from rent</v>
      </c>
      <c r="G373" s="288" t="s">
        <v>364</v>
      </c>
      <c r="H373" s="56" t="s">
        <v>549</v>
      </c>
      <c r="I373" s="56" t="s">
        <v>365</v>
      </c>
      <c r="J373" s="382" t="s">
        <v>2605</v>
      </c>
      <c r="K373" s="302">
        <v>651</v>
      </c>
      <c r="L373" s="292">
        <v>651</v>
      </c>
      <c r="M373" s="292">
        <v>651</v>
      </c>
      <c r="N373" s="66">
        <v>651</v>
      </c>
      <c r="O373" s="10"/>
      <c r="P373" s="10"/>
    </row>
    <row r="374" spans="1:16" x14ac:dyDescent="0.3">
      <c r="A374">
        <f t="shared" si="5"/>
        <v>373</v>
      </c>
      <c r="B374" t="s">
        <v>134</v>
      </c>
      <c r="C374">
        <v>1</v>
      </c>
      <c r="D374" s="2">
        <v>622</v>
      </c>
      <c r="E374" s="2">
        <f>VLOOKUP( T_Aop[[#This Row],[Id]], T_Aop[], ID_Jezik +10, 1)</f>
        <v>652</v>
      </c>
      <c r="F374" t="str">
        <f>REPT( "  ", T_Aop[[#This Row],[Aop nivo]]) &amp; VLOOKUP( T_Aop[[#This Row],[Id]], T_Aop[], ID_Jezik + 6, 1)</f>
        <v xml:space="preserve">  c) Income from donations</v>
      </c>
      <c r="G374" s="288" t="s">
        <v>3066</v>
      </c>
      <c r="H374" s="56" t="s">
        <v>550</v>
      </c>
      <c r="I374" s="56" t="s">
        <v>366</v>
      </c>
      <c r="J374" s="383" t="s">
        <v>2606</v>
      </c>
      <c r="K374" s="292">
        <v>652</v>
      </c>
      <c r="L374" s="302">
        <v>652</v>
      </c>
      <c r="M374" s="302">
        <v>652</v>
      </c>
      <c r="N374" s="332">
        <v>652</v>
      </c>
      <c r="O374" s="10"/>
      <c r="P374" s="10"/>
    </row>
    <row r="375" spans="1:16" x14ac:dyDescent="0.3">
      <c r="A375">
        <f t="shared" si="5"/>
        <v>374</v>
      </c>
      <c r="B375" t="s">
        <v>134</v>
      </c>
      <c r="C375">
        <v>1</v>
      </c>
      <c r="D375" s="2">
        <v>623</v>
      </c>
      <c r="E375" s="2">
        <f>VLOOKUP( T_Aop[[#This Row],[Id]], T_Aop[], ID_Jezik +10, 1)</f>
        <v>653</v>
      </c>
      <c r="F375" t="str">
        <f>REPT( "  ", T_Aop[[#This Row],[Aop nivo]]) &amp; VLOOKUP( T_Aop[[#This Row],[Id]], T_Aop[], ID_Jezik + 6, 1)</f>
        <v xml:space="preserve">  d) Income from membership fees</v>
      </c>
      <c r="G375" s="288" t="s">
        <v>3067</v>
      </c>
      <c r="H375" s="56" t="s">
        <v>551</v>
      </c>
      <c r="I375" s="56" t="s">
        <v>367</v>
      </c>
      <c r="J375" s="382" t="s">
        <v>2607</v>
      </c>
      <c r="K375" s="292">
        <v>653</v>
      </c>
      <c r="L375" s="302">
        <v>653</v>
      </c>
      <c r="M375" s="302">
        <v>653</v>
      </c>
      <c r="N375" s="66">
        <v>653</v>
      </c>
      <c r="O375" s="10"/>
      <c r="P375" s="10"/>
    </row>
    <row r="376" spans="1:16" x14ac:dyDescent="0.3">
      <c r="A376">
        <f t="shared" si="5"/>
        <v>375</v>
      </c>
      <c r="B376" s="78" t="s">
        <v>134</v>
      </c>
      <c r="C376">
        <v>1</v>
      </c>
      <c r="D376" s="2">
        <v>624</v>
      </c>
      <c r="E376" s="80">
        <f>VLOOKUP( T_Aop[[#This Row],[Id]], T_Aop[], ID_Jezik +10, 1)</f>
        <v>654</v>
      </c>
      <c r="F376" s="79" t="str">
        <f>REPT( "  ", T_Aop[[#This Row],[Aop nivo]]) &amp; VLOOKUP( T_Aop[[#This Row],[Id]], T_Aop[], ID_Jezik + 6, 1)</f>
        <v xml:space="preserve">  e) Income from bonuses and license rights</v>
      </c>
      <c r="G376" s="299" t="s">
        <v>3068</v>
      </c>
      <c r="H376" s="56" t="s">
        <v>552</v>
      </c>
      <c r="I376" s="56" t="s">
        <v>368</v>
      </c>
      <c r="J376" s="383" t="s">
        <v>2608</v>
      </c>
      <c r="K376" s="300">
        <v>654</v>
      </c>
      <c r="L376" s="302">
        <v>654</v>
      </c>
      <c r="M376" s="292">
        <v>654</v>
      </c>
      <c r="N376" s="332">
        <v>654</v>
      </c>
      <c r="O376" s="10"/>
      <c r="P376" s="10"/>
    </row>
    <row r="377" spans="1:16" x14ac:dyDescent="0.3">
      <c r="A377">
        <f t="shared" si="5"/>
        <v>376</v>
      </c>
      <c r="B377" s="78" t="s">
        <v>134</v>
      </c>
      <c r="C377">
        <v>1</v>
      </c>
      <c r="D377" s="2">
        <v>625</v>
      </c>
      <c r="E377" s="80">
        <f>VLOOKUP( T_Aop[[#This Row],[Id]], T_Aop[], ID_Jezik +10, 1)</f>
        <v>655</v>
      </c>
      <c r="F377" s="79" t="str">
        <f>REPT( "  ", T_Aop[[#This Row],[Aop nivo]]) &amp; VLOOKUP( T_Aop[[#This Row],[Id]], T_Aop[], ID_Jezik + 6, 1)</f>
        <v xml:space="preserve">  f) Income from dedicated funding sources (budgets, funds, etc.)</v>
      </c>
      <c r="G377" s="299" t="s">
        <v>3069</v>
      </c>
      <c r="H377" s="56" t="s">
        <v>553</v>
      </c>
      <c r="I377" s="56" t="s">
        <v>369</v>
      </c>
      <c r="J377" s="382" t="s">
        <v>3050</v>
      </c>
      <c r="K377" s="300">
        <v>655</v>
      </c>
      <c r="L377" s="292">
        <v>655</v>
      </c>
      <c r="M377" s="292">
        <v>655</v>
      </c>
      <c r="N377" s="66">
        <v>655</v>
      </c>
      <c r="O377" s="10"/>
      <c r="P377" s="10"/>
    </row>
    <row r="378" spans="1:16" x14ac:dyDescent="0.3">
      <c r="A378">
        <f t="shared" si="5"/>
        <v>377</v>
      </c>
      <c r="B378" s="78" t="s">
        <v>134</v>
      </c>
      <c r="C378">
        <v>1</v>
      </c>
      <c r="D378" s="2">
        <v>626</v>
      </c>
      <c r="E378" s="80" t="str">
        <f>VLOOKUP( T_Aop[[#This Row],[Id]], T_Aop[], ID_Jezik +10, 1)</f>
        <v>656</v>
      </c>
      <c r="F378" s="79" t="str">
        <f>REPT( "  ", T_Aop[[#This Row],[Aop nivo]]) &amp; VLOOKUP( T_Aop[[#This Row],[Id]], T_Aop[], ID_Jezik + 6, 1)</f>
        <v xml:space="preserve">  g) Dividend income</v>
      </c>
      <c r="G378" s="542" t="s">
        <v>3070</v>
      </c>
      <c r="H378" s="301" t="s">
        <v>3063</v>
      </c>
      <c r="I378" s="555" t="s">
        <v>3002</v>
      </c>
      <c r="J378" s="556" t="s">
        <v>3048</v>
      </c>
      <c r="K378" s="543" t="s">
        <v>2970</v>
      </c>
      <c r="L378" s="543" t="s">
        <v>2970</v>
      </c>
      <c r="M378" s="543" t="s">
        <v>2970</v>
      </c>
      <c r="N378" s="543" t="s">
        <v>2970</v>
      </c>
      <c r="O378" s="10"/>
      <c r="P378" s="10"/>
    </row>
    <row r="379" spans="1:16" ht="27.6" x14ac:dyDescent="0.3">
      <c r="A379">
        <f t="shared" si="5"/>
        <v>378</v>
      </c>
      <c r="B379" s="78" t="s">
        <v>134</v>
      </c>
      <c r="C379">
        <v>1</v>
      </c>
      <c r="D379" s="2">
        <v>627</v>
      </c>
      <c r="E379" s="80" t="str">
        <f>VLOOKUP( T_Aop[[#This Row],[Id]], T_Aop[], ID_Jezik +10, 1)</f>
        <v>657</v>
      </c>
      <c r="F379" s="79" t="str">
        <f>REPT( "  ", T_Aop[[#This Row],[Aop nivo]]) &amp; VLOOKUP( T_Aop[[#This Row],[Id]], T_Aop[], ID_Jezik + 6, 1)</f>
        <v xml:space="preserve">  h) Revenues from the activation or consumption of goods, finished products or services</v>
      </c>
      <c r="G379" s="542" t="s">
        <v>3071</v>
      </c>
      <c r="H379" s="301" t="s">
        <v>2988</v>
      </c>
      <c r="I379" s="555" t="s">
        <v>3003</v>
      </c>
      <c r="J379" s="556" t="s">
        <v>3049</v>
      </c>
      <c r="K379" s="543" t="s">
        <v>2971</v>
      </c>
      <c r="L379" s="543" t="s">
        <v>2971</v>
      </c>
      <c r="M379" s="543" t="s">
        <v>2971</v>
      </c>
      <c r="N379" s="543" t="s">
        <v>2971</v>
      </c>
      <c r="O379" s="10"/>
      <c r="P379" s="10"/>
    </row>
    <row r="380" spans="1:16" x14ac:dyDescent="0.3">
      <c r="A380">
        <f t="shared" si="5"/>
        <v>379</v>
      </c>
      <c r="B380" s="78" t="s">
        <v>134</v>
      </c>
      <c r="C380" s="79">
        <v>1</v>
      </c>
      <c r="D380" s="2">
        <v>628</v>
      </c>
      <c r="E380" s="80">
        <f>VLOOKUP( T_Aop[[#This Row],[Id]], T_Aop[], ID_Jezik +10, 1)</f>
        <v>659</v>
      </c>
      <c r="F380" s="79" t="str">
        <f>REPT( "  ", T_Aop[[#This Row],[Aop nivo]]) &amp; VLOOKUP( T_Aop[[#This Row],[Id]], T_Aop[], ID_Jezik + 6, 1)</f>
        <v xml:space="preserve">  i) Other operating incomes from other sources</v>
      </c>
      <c r="G380" s="299" t="s">
        <v>3072</v>
      </c>
      <c r="H380" s="303" t="s">
        <v>3064</v>
      </c>
      <c r="I380" s="303" t="s">
        <v>3065</v>
      </c>
      <c r="J380" s="383" t="s">
        <v>3051</v>
      </c>
      <c r="K380" s="300">
        <v>659</v>
      </c>
      <c r="L380" s="300">
        <v>659</v>
      </c>
      <c r="M380" s="300">
        <v>659</v>
      </c>
      <c r="N380" s="332">
        <v>659</v>
      </c>
      <c r="O380" s="80"/>
      <c r="P380" s="80"/>
    </row>
    <row r="381" spans="1:16" x14ac:dyDescent="0.3">
      <c r="A381">
        <f t="shared" si="5"/>
        <v>380</v>
      </c>
      <c r="B381" s="78" t="s">
        <v>134</v>
      </c>
      <c r="C381" s="79">
        <v>0</v>
      </c>
      <c r="D381" s="2">
        <v>629</v>
      </c>
      <c r="E381" s="80" t="str">
        <f>VLOOKUP( T_Aop[[#This Row],[Id]], T_Aop[], ID_Jezik +10, 1)</f>
        <v>66 + 67</v>
      </c>
      <c r="F381" s="79" t="str">
        <f>REPT( "  ", T_Aop[[#This Row],[Aop nivo]]) &amp; VLOOKUP( T_Aop[[#This Row],[Id]], T_Aop[], ID_Jezik + 6, 1)</f>
        <v>FINANCIAL AND OTHER INCOME</v>
      </c>
      <c r="G381" s="299" t="s">
        <v>348</v>
      </c>
      <c r="H381" s="303" t="s">
        <v>554</v>
      </c>
      <c r="I381" s="303" t="s">
        <v>370</v>
      </c>
      <c r="J381" s="386" t="s">
        <v>2609</v>
      </c>
      <c r="K381" s="300" t="s">
        <v>676</v>
      </c>
      <c r="L381" s="304" t="s">
        <v>676</v>
      </c>
      <c r="M381" s="300" t="s">
        <v>676</v>
      </c>
      <c r="N381" s="334" t="s">
        <v>676</v>
      </c>
      <c r="O381" s="80">
        <v>1</v>
      </c>
      <c r="P381" s="80"/>
    </row>
    <row r="382" spans="1:16" x14ac:dyDescent="0.3">
      <c r="A382">
        <f t="shared" si="5"/>
        <v>381</v>
      </c>
      <c r="B382" s="78" t="s">
        <v>134</v>
      </c>
      <c r="C382" s="79">
        <v>2</v>
      </c>
      <c r="D382" s="2">
        <v>630</v>
      </c>
      <c r="E382" s="80" t="str">
        <f>VLOOKUP( T_Aop[[#This Row],[Id]], T_Aop[], ID_Jezik +10, 1)</f>
        <v>part 670</v>
      </c>
      <c r="F382" s="79" t="str">
        <f>REPT( "  ", T_Aop[[#This Row],[Aop nivo]]) &amp; VLOOKUP( T_Aop[[#This Row],[Id]], T_Aop[], ID_Jezik + 6, 1)</f>
        <v xml:space="preserve">    Of which: gains from the sale of real estate, plant and equipment</v>
      </c>
      <c r="G382" s="542" t="s">
        <v>2972</v>
      </c>
      <c r="H382" s="546" t="s">
        <v>2986</v>
      </c>
      <c r="I382" s="557" t="s">
        <v>3004</v>
      </c>
      <c r="J382" s="556" t="s">
        <v>2610</v>
      </c>
      <c r="K382" s="544" t="s">
        <v>353</v>
      </c>
      <c r="L382" s="544" t="s">
        <v>677</v>
      </c>
      <c r="M382" s="544" t="s">
        <v>358</v>
      </c>
      <c r="N382" s="539" t="s">
        <v>2638</v>
      </c>
      <c r="O382" s="80"/>
      <c r="P382" s="80"/>
    </row>
    <row r="383" spans="1:16" x14ac:dyDescent="0.3">
      <c r="A383">
        <f t="shared" si="5"/>
        <v>382</v>
      </c>
      <c r="B383" s="78" t="s">
        <v>134</v>
      </c>
      <c r="C383" s="79">
        <v>1</v>
      </c>
      <c r="D383" s="2">
        <v>631</v>
      </c>
      <c r="E383" s="80" t="str">
        <f>VLOOKUP( T_Aop[[#This Row],[Id]], T_Aop[], ID_Jezik +10, 1)</f>
        <v>678</v>
      </c>
      <c r="F383" s="79" t="str">
        <f>REPT( "  ", T_Aop[[#This Row],[Aop nivo]]) &amp; VLOOKUP( T_Aop[[#This Row],[Id]], T_Aop[], ID_Jezik + 6, 1)</f>
        <v xml:space="preserve">  Gains from derivative financial instruments</v>
      </c>
      <c r="G383" s="542" t="s">
        <v>2973</v>
      </c>
      <c r="H383" s="546" t="s">
        <v>2987</v>
      </c>
      <c r="I383" s="557" t="s">
        <v>3005</v>
      </c>
      <c r="J383" s="556" t="s">
        <v>2611</v>
      </c>
      <c r="K383" s="544" t="s">
        <v>2974</v>
      </c>
      <c r="L383" s="544" t="s">
        <v>2974</v>
      </c>
      <c r="M383" s="544" t="s">
        <v>2974</v>
      </c>
      <c r="N383" s="545">
        <v>678</v>
      </c>
      <c r="O383" s="80"/>
      <c r="P383" s="80"/>
    </row>
    <row r="384" spans="1:16" ht="27.6" x14ac:dyDescent="0.3">
      <c r="A384">
        <f t="shared" si="5"/>
        <v>383</v>
      </c>
      <c r="B384" s="78" t="s">
        <v>134</v>
      </c>
      <c r="C384" s="79">
        <v>0</v>
      </c>
      <c r="D384" s="2">
        <v>632</v>
      </c>
      <c r="E384" s="80">
        <f>VLOOKUP( T_Aop[[#This Row],[Id]], T_Aop[], ID_Jezik +10, 1)</f>
        <v>52</v>
      </c>
      <c r="F384" s="79" t="str">
        <f>REPT( "  ", T_Aop[[#This Row],[Aop nivo]]) &amp; VLOOKUP( T_Aop[[#This Row],[Id]], T_Aop[], ID_Jezik + 6, 1)</f>
        <v>COSTS OF SALARIES, WAGE COMPENSATION AND OTHER PERSONAL INCOME</v>
      </c>
      <c r="G384" s="553" t="s">
        <v>2975</v>
      </c>
      <c r="H384" s="554" t="s">
        <v>2985</v>
      </c>
      <c r="I384" s="558" t="s">
        <v>3006</v>
      </c>
      <c r="J384" s="559" t="s">
        <v>2612</v>
      </c>
      <c r="K384" s="300">
        <v>52</v>
      </c>
      <c r="L384" s="304">
        <v>52</v>
      </c>
      <c r="M384" s="300">
        <v>52</v>
      </c>
      <c r="N384" s="334">
        <v>52</v>
      </c>
      <c r="O384" s="80">
        <v>1</v>
      </c>
      <c r="P384" s="80"/>
    </row>
    <row r="385" spans="1:16" ht="27.6" x14ac:dyDescent="0.3">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Gross salaries to the members of the Management, Supervisory, the Board of Auditors and others.</v>
      </c>
      <c r="G385" s="299" t="s">
        <v>734</v>
      </c>
      <c r="H385" s="303" t="s">
        <v>748</v>
      </c>
      <c r="I385" s="303" t="s">
        <v>755</v>
      </c>
      <c r="J385" s="383" t="s">
        <v>2613</v>
      </c>
      <c r="K385" s="300" t="s">
        <v>732</v>
      </c>
      <c r="L385" s="304" t="s">
        <v>732</v>
      </c>
      <c r="M385" s="300" t="s">
        <v>732</v>
      </c>
      <c r="N385" s="335" t="s">
        <v>2639</v>
      </c>
      <c r="O385" s="80"/>
      <c r="P385" s="80"/>
    </row>
    <row r="386" spans="1:16" x14ac:dyDescent="0.3">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Employee expenses on a business trip</v>
      </c>
      <c r="G386" s="299" t="s">
        <v>555</v>
      </c>
      <c r="H386" s="303" t="s">
        <v>556</v>
      </c>
      <c r="I386" s="303" t="s">
        <v>557</v>
      </c>
      <c r="J386" s="383" t="s">
        <v>2614</v>
      </c>
      <c r="K386" s="300">
        <v>525</v>
      </c>
      <c r="L386" s="304">
        <v>525</v>
      </c>
      <c r="M386" s="300">
        <v>525</v>
      </c>
      <c r="N386" s="333">
        <v>525</v>
      </c>
      <c r="O386" s="80"/>
      <c r="P386" s="80"/>
    </row>
    <row r="387" spans="1:16" x14ac:dyDescent="0.3">
      <c r="A387">
        <f t="shared" si="6"/>
        <v>386</v>
      </c>
      <c r="B387" s="78" t="s">
        <v>134</v>
      </c>
      <c r="C387" s="79">
        <v>2</v>
      </c>
      <c r="D387" s="2">
        <v>635</v>
      </c>
      <c r="E387" s="80" t="str">
        <f>VLOOKUP( T_Aop[[#This Row],[Id]], T_Aop[], ID_Jezik +10, 1)</f>
        <v>part 525</v>
      </c>
      <c r="F387" s="79" t="str">
        <f>REPT( "  ", T_Aop[[#This Row],[Aop nivo]]) &amp; VLOOKUP( T_Aop[[#This Row],[Id]], T_Aop[], ID_Jezik + 6, 1)</f>
        <v xml:space="preserve">    Of which: expenses of allowances for business trip</v>
      </c>
      <c r="G387" s="299" t="s">
        <v>558</v>
      </c>
      <c r="H387" s="303" t="s">
        <v>559</v>
      </c>
      <c r="I387" s="303" t="s">
        <v>560</v>
      </c>
      <c r="J387" s="382" t="s">
        <v>2615</v>
      </c>
      <c r="K387" s="300" t="s">
        <v>678</v>
      </c>
      <c r="L387" s="300" t="s">
        <v>679</v>
      </c>
      <c r="M387" s="300" t="s">
        <v>680</v>
      </c>
      <c r="N387" s="335" t="s">
        <v>2640</v>
      </c>
      <c r="O387" s="80"/>
      <c r="P387" s="80"/>
    </row>
    <row r="388" spans="1:16" ht="27.6" x14ac:dyDescent="0.3">
      <c r="A388">
        <f t="shared" si="6"/>
        <v>387</v>
      </c>
      <c r="B388" s="78" t="s">
        <v>134</v>
      </c>
      <c r="C388" s="79">
        <v>0</v>
      </c>
      <c r="D388" s="2">
        <v>636</v>
      </c>
      <c r="E388" s="80">
        <f>VLOOKUP( T_Aop[[#This Row],[Id]], T_Aop[], ID_Jezik +10, 1)</f>
        <v>53</v>
      </c>
      <c r="F388" s="79" t="str">
        <f>REPT( "  ", T_Aop[[#This Row],[Aop nivo]]) &amp; VLOOKUP( T_Aop[[#This Row],[Id]], T_Aop[], ID_Jezik + 6, 1)</f>
        <v>EXPENSES OF PRODUCTION SERVICES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3">
      <c r="A389">
        <f t="shared" si="6"/>
        <v>388</v>
      </c>
      <c r="B389" s="78" t="s">
        <v>134</v>
      </c>
      <c r="C389" s="79">
        <v>1</v>
      </c>
      <c r="D389" s="2">
        <v>637</v>
      </c>
      <c r="E389" s="80">
        <f>VLOOKUP( T_Aop[[#This Row],[Id]], T_Aop[], ID_Jezik +10, 1)</f>
        <v>530</v>
      </c>
      <c r="F389" s="79" t="str">
        <f>REPT( "  ", T_Aop[[#This Row],[Aop nivo]]) &amp; VLOOKUP( T_Aop[[#This Row],[Id]], T_Aop[], ID_Jezik + 6, 1)</f>
        <v xml:space="preserve">  a) Expenses of services on the productions of product</v>
      </c>
      <c r="G389" s="299" t="s">
        <v>349</v>
      </c>
      <c r="H389" s="303" t="s">
        <v>561</v>
      </c>
      <c r="I389" s="303" t="s">
        <v>562</v>
      </c>
      <c r="J389" s="382" t="s">
        <v>2616</v>
      </c>
      <c r="K389" s="300">
        <v>530</v>
      </c>
      <c r="L389" s="304">
        <v>530</v>
      </c>
      <c r="M389" s="300">
        <v>530</v>
      </c>
      <c r="N389" s="66">
        <v>530</v>
      </c>
      <c r="O389" s="80"/>
      <c r="P389" s="80"/>
    </row>
    <row r="390" spans="1:16" x14ac:dyDescent="0.3">
      <c r="A390">
        <f t="shared" si="6"/>
        <v>389</v>
      </c>
      <c r="B390" s="78" t="s">
        <v>134</v>
      </c>
      <c r="C390" s="79">
        <v>1</v>
      </c>
      <c r="D390" s="2">
        <v>638</v>
      </c>
      <c r="E390" s="80">
        <f>VLOOKUP( T_Aop[[#This Row],[Id]], T_Aop[], ID_Jezik +10, 1)</f>
        <v>531</v>
      </c>
      <c r="F390" s="79" t="str">
        <f>REPT( "  ", T_Aop[[#This Row],[Aop nivo]]) &amp; VLOOKUP( T_Aop[[#This Row],[Id]], T_Aop[], ID_Jezik + 6, 1)</f>
        <v xml:space="preserve">  b) Transportation services expense</v>
      </c>
      <c r="G390" s="299" t="s">
        <v>350</v>
      </c>
      <c r="H390" s="303" t="s">
        <v>563</v>
      </c>
      <c r="I390" s="303" t="s">
        <v>371</v>
      </c>
      <c r="J390" s="383" t="s">
        <v>2617</v>
      </c>
      <c r="K390" s="300">
        <v>531</v>
      </c>
      <c r="L390" s="304">
        <v>531</v>
      </c>
      <c r="M390" s="300">
        <v>531</v>
      </c>
      <c r="N390" s="332">
        <v>531</v>
      </c>
      <c r="O390" s="80"/>
      <c r="P390" s="80"/>
    </row>
    <row r="391" spans="1:16" x14ac:dyDescent="0.3">
      <c r="A391">
        <f t="shared" si="6"/>
        <v>390</v>
      </c>
      <c r="B391" s="78" t="s">
        <v>134</v>
      </c>
      <c r="C391" s="79">
        <v>1</v>
      </c>
      <c r="D391" s="2">
        <v>639</v>
      </c>
      <c r="E391" s="80" t="str">
        <f>VLOOKUP( T_Aop[[#This Row],[Id]], T_Aop[], ID_Jezik +10, 1)</f>
        <v>part 532</v>
      </c>
      <c r="F391" s="79" t="str">
        <f>REPT( "  ", T_Aop[[#This Row],[Aop nivo]]) &amp; VLOOKUP( T_Aop[[#This Row],[Id]], T_Aop[], ID_Jezik + 6, 1)</f>
        <v xml:space="preserve">  c) Fixed assets ongoing maintenance services expenses</v>
      </c>
      <c r="G391" s="299" t="s">
        <v>564</v>
      </c>
      <c r="H391" s="303" t="s">
        <v>565</v>
      </c>
      <c r="I391" s="303" t="s">
        <v>566</v>
      </c>
      <c r="J391" s="382" t="s">
        <v>2618</v>
      </c>
      <c r="K391" s="300" t="s">
        <v>354</v>
      </c>
      <c r="L391" s="304" t="s">
        <v>681</v>
      </c>
      <c r="M391" s="300" t="s">
        <v>359</v>
      </c>
      <c r="N391" s="337" t="s">
        <v>2641</v>
      </c>
      <c r="O391" s="80"/>
      <c r="P391" s="80"/>
    </row>
    <row r="392" spans="1:16" x14ac:dyDescent="0.3">
      <c r="A392">
        <f t="shared" si="6"/>
        <v>391</v>
      </c>
      <c r="B392" s="78" t="s">
        <v>134</v>
      </c>
      <c r="C392" s="79">
        <v>1</v>
      </c>
      <c r="D392" s="2">
        <v>640</v>
      </c>
      <c r="E392" s="80" t="str">
        <f>VLOOKUP( T_Aop[[#This Row],[Id]], T_Aop[], ID_Jezik +10, 1)</f>
        <v>part 532</v>
      </c>
      <c r="F392" s="79" t="str">
        <f>REPT( "  ", T_Aop[[#This Row],[Aop nivo]]) &amp; VLOOKUP( T_Aop[[#This Row],[Id]], T_Aop[], ID_Jezik + 6, 1)</f>
        <v xml:space="preserve">  d) Fixed assets investment maintenance services expenses</v>
      </c>
      <c r="G392" s="299" t="s">
        <v>567</v>
      </c>
      <c r="H392" s="303" t="s">
        <v>568</v>
      </c>
      <c r="I392" s="303" t="s">
        <v>569</v>
      </c>
      <c r="J392" s="383" t="s">
        <v>2619</v>
      </c>
      <c r="K392" s="300" t="s">
        <v>354</v>
      </c>
      <c r="L392" s="300" t="s">
        <v>681</v>
      </c>
      <c r="M392" s="300" t="s">
        <v>359</v>
      </c>
      <c r="N392" s="332" t="s">
        <v>2641</v>
      </c>
      <c r="O392" s="80"/>
      <c r="P392" s="80"/>
    </row>
    <row r="393" spans="1:16" x14ac:dyDescent="0.3">
      <c r="A393">
        <f t="shared" si="6"/>
        <v>392</v>
      </c>
      <c r="B393" s="78" t="s">
        <v>134</v>
      </c>
      <c r="C393" s="79">
        <v>1</v>
      </c>
      <c r="D393" s="2">
        <v>641</v>
      </c>
      <c r="E393" s="80">
        <f>VLOOKUP( T_Aop[[#This Row],[Id]], T_Aop[], ID_Jezik +10, 1)</f>
        <v>533</v>
      </c>
      <c r="F393" s="79" t="str">
        <f>REPT( "  ", T_Aop[[#This Row],[Aop nivo]]) &amp; VLOOKUP( T_Aop[[#This Row],[Id]], T_Aop[], ID_Jezik + 6, 1)</f>
        <v xml:space="preserve">  e) Rent expense</v>
      </c>
      <c r="G393" s="299" t="s">
        <v>570</v>
      </c>
      <c r="H393" s="303" t="s">
        <v>571</v>
      </c>
      <c r="I393" s="303" t="s">
        <v>372</v>
      </c>
      <c r="J393" s="387" t="s">
        <v>2620</v>
      </c>
      <c r="K393" s="300">
        <v>533</v>
      </c>
      <c r="L393" s="300">
        <v>533</v>
      </c>
      <c r="M393" s="300">
        <v>533</v>
      </c>
      <c r="N393" s="337">
        <v>533</v>
      </c>
      <c r="O393" s="80"/>
      <c r="P393" s="80"/>
    </row>
    <row r="394" spans="1:16" x14ac:dyDescent="0.3">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f) Fairs, advertising and propaganda expenses</v>
      </c>
      <c r="G394" s="299" t="s">
        <v>572</v>
      </c>
      <c r="H394" s="303" t="s">
        <v>573</v>
      </c>
      <c r="I394" s="303" t="s">
        <v>373</v>
      </c>
      <c r="J394" s="383" t="s">
        <v>2621</v>
      </c>
      <c r="K394" s="300" t="s">
        <v>682</v>
      </c>
      <c r="L394" s="304" t="s">
        <v>682</v>
      </c>
      <c r="M394" s="300" t="s">
        <v>682</v>
      </c>
      <c r="N394" s="332" t="s">
        <v>2642</v>
      </c>
      <c r="O394" s="80"/>
      <c r="P394" s="80"/>
    </row>
    <row r="395" spans="1:16" x14ac:dyDescent="0.3">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g) Research and development expenses that are not capitalised</v>
      </c>
      <c r="G395" s="299" t="s">
        <v>574</v>
      </c>
      <c r="H395" s="303" t="s">
        <v>575</v>
      </c>
      <c r="I395" s="303" t="s">
        <v>374</v>
      </c>
      <c r="J395" s="382" t="s">
        <v>2622</v>
      </c>
      <c r="K395" s="300" t="s">
        <v>683</v>
      </c>
      <c r="L395" s="300" t="s">
        <v>683</v>
      </c>
      <c r="M395" s="300" t="s">
        <v>683</v>
      </c>
      <c r="N395" s="66" t="s">
        <v>2643</v>
      </c>
      <c r="O395" s="80"/>
      <c r="P395" s="80"/>
    </row>
    <row r="396" spans="1:16" x14ac:dyDescent="0.3">
      <c r="A396">
        <f t="shared" si="6"/>
        <v>395</v>
      </c>
      <c r="B396" s="78" t="s">
        <v>134</v>
      </c>
      <c r="C396" s="79">
        <v>1</v>
      </c>
      <c r="D396" s="2">
        <v>644</v>
      </c>
      <c r="E396" s="80">
        <f>VLOOKUP( T_Aop[[#This Row],[Id]], T_Aop[], ID_Jezik +10, 1)</f>
        <v>539</v>
      </c>
      <c r="F396" s="79" t="str">
        <f>REPT( "  ", T_Aop[[#This Row],[Aop nivo]]) &amp; VLOOKUP( T_Aop[[#This Row],[Id]], T_Aop[], ID_Jezik + 6, 1)</f>
        <v xml:space="preserve">  h) Other services expenses</v>
      </c>
      <c r="G396" s="299" t="s">
        <v>576</v>
      </c>
      <c r="H396" s="303" t="s">
        <v>577</v>
      </c>
      <c r="I396" s="303" t="s">
        <v>375</v>
      </c>
      <c r="J396" s="383" t="s">
        <v>2623</v>
      </c>
      <c r="K396" s="300">
        <v>539</v>
      </c>
      <c r="L396" s="300">
        <v>539</v>
      </c>
      <c r="M396" s="300">
        <v>539</v>
      </c>
      <c r="N396" s="332">
        <v>539</v>
      </c>
      <c r="O396" s="80"/>
      <c r="P396" s="80"/>
    </row>
    <row r="397" spans="1:16" ht="27.6" x14ac:dyDescent="0.3">
      <c r="A397">
        <f t="shared" si="6"/>
        <v>396</v>
      </c>
      <c r="B397" s="78" t="s">
        <v>134</v>
      </c>
      <c r="C397" s="79">
        <v>2</v>
      </c>
      <c r="D397" s="2">
        <v>645</v>
      </c>
      <c r="E397" s="80" t="str">
        <f>VLOOKUP( T_Aop[[#This Row],[Id]], T_Aop[], ID_Jezik +10, 1)</f>
        <v>part 539</v>
      </c>
      <c r="F397" s="79" t="str">
        <f>REPT( "  ", T_Aop[[#This Row],[Aop nivo]]) &amp; VLOOKUP( T_Aop[[#This Row],[Id]], T_Aop[], ID_Jezik + 6, 1)</f>
        <v xml:space="preserve">    Of which: Gross fee amount for contracts with unemployed individuals</v>
      </c>
      <c r="G397" s="299" t="s">
        <v>578</v>
      </c>
      <c r="H397" s="303" t="s">
        <v>579</v>
      </c>
      <c r="I397" s="303" t="s">
        <v>580</v>
      </c>
      <c r="J397" s="382" t="s">
        <v>2624</v>
      </c>
      <c r="K397" s="300" t="s">
        <v>355</v>
      </c>
      <c r="L397" s="300" t="s">
        <v>684</v>
      </c>
      <c r="M397" s="300" t="s">
        <v>360</v>
      </c>
      <c r="N397" s="66" t="s">
        <v>2644</v>
      </c>
      <c r="O397" s="80"/>
      <c r="P397" s="80"/>
    </row>
    <row r="398" spans="1:16" x14ac:dyDescent="0.3">
      <c r="A398">
        <f t="shared" si="6"/>
        <v>397</v>
      </c>
      <c r="B398" s="78" t="s">
        <v>134</v>
      </c>
      <c r="C398" s="79">
        <v>0</v>
      </c>
      <c r="D398" s="2">
        <v>646</v>
      </c>
      <c r="E398" s="80">
        <f>VLOOKUP( T_Aop[[#This Row],[Id]], T_Aop[], ID_Jezik +10, 1)</f>
        <v>55</v>
      </c>
      <c r="F398" s="79" t="str">
        <f>REPT( "  ", T_Aop[[#This Row],[Aop nivo]]) &amp; VLOOKUP( T_Aop[[#This Row],[Id]], T_Aop[], ID_Jezik + 6, 1)</f>
        <v>NON-MATERIAL EXPENSES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3">
      <c r="A399">
        <f t="shared" si="6"/>
        <v>398</v>
      </c>
      <c r="B399" s="78" t="s">
        <v>134</v>
      </c>
      <c r="C399" s="79">
        <v>1</v>
      </c>
      <c r="D399" s="2">
        <v>647</v>
      </c>
      <c r="E399" s="80">
        <f>VLOOKUP( T_Aop[[#This Row],[Id]], T_Aop[], ID_Jezik +10, 1)</f>
        <v>550</v>
      </c>
      <c r="F399" s="79" t="str">
        <f>REPT( "  ", T_Aop[[#This Row],[Aop nivo]]) &amp; VLOOKUP( T_Aop[[#This Row],[Id]], T_Aop[], ID_Jezik + 6, 1)</f>
        <v xml:space="preserve">  a) Other services expenses</v>
      </c>
      <c r="G399" s="542" t="s">
        <v>2983</v>
      </c>
      <c r="H399" s="546" t="s">
        <v>2984</v>
      </c>
      <c r="I399" s="557" t="s">
        <v>3008</v>
      </c>
      <c r="J399" s="556" t="s">
        <v>2625</v>
      </c>
      <c r="K399" s="300">
        <v>550</v>
      </c>
      <c r="L399" s="304">
        <v>550</v>
      </c>
      <c r="M399" s="300">
        <v>550</v>
      </c>
      <c r="N399" s="66">
        <v>550</v>
      </c>
      <c r="O399" s="80"/>
      <c r="P399" s="80"/>
    </row>
    <row r="400" spans="1:16" ht="27.6" x14ac:dyDescent="0.3">
      <c r="A400">
        <f t="shared" si="6"/>
        <v>399</v>
      </c>
      <c r="B400" s="78" t="s">
        <v>134</v>
      </c>
      <c r="C400" s="79">
        <v>2</v>
      </c>
      <c r="D400" s="2">
        <v>648</v>
      </c>
      <c r="E400" s="80" t="str">
        <f>VLOOKUP( T_Aop[[#This Row],[Id]], T_Aop[], ID_Jezik +10, 1)</f>
        <v>part 550</v>
      </c>
      <c r="F400" s="79" t="str">
        <f>REPT( "  ", T_Aop[[#This Row],[Aop nivo]]) &amp; VLOOKUP( T_Aop[[#This Row],[Id]], T_Aop[], ID_Jezik + 6, 1)</f>
        <v xml:space="preserve">    Of which: costs of professional education and training of employees</v>
      </c>
      <c r="G400" s="299" t="s">
        <v>735</v>
      </c>
      <c r="H400" s="303" t="s">
        <v>749</v>
      </c>
      <c r="I400" s="303" t="s">
        <v>376</v>
      </c>
      <c r="J400" s="383" t="s">
        <v>2626</v>
      </c>
      <c r="K400" s="300" t="s">
        <v>59</v>
      </c>
      <c r="L400" s="304" t="s">
        <v>685</v>
      </c>
      <c r="M400" s="300" t="s">
        <v>361</v>
      </c>
      <c r="N400" s="332" t="s">
        <v>2645</v>
      </c>
      <c r="O400" s="80"/>
      <c r="P400" s="80"/>
    </row>
    <row r="401" spans="1:16" ht="27.6" x14ac:dyDescent="0.3">
      <c r="A401">
        <f t="shared" si="6"/>
        <v>400</v>
      </c>
      <c r="B401" s="78" t="s">
        <v>134</v>
      </c>
      <c r="C401" s="79">
        <v>2</v>
      </c>
      <c r="D401" s="2">
        <v>649</v>
      </c>
      <c r="E401" s="80" t="str">
        <f>VLOOKUP( T_Aop[[#This Row],[Id]], T_Aop[], ID_Jezik +10, 1)</f>
        <v>part 550</v>
      </c>
      <c r="F401" s="79" t="str">
        <f>REPT( "  ", T_Aop[[#This Row],[Aop nivo]]) &amp; VLOOKUP( T_Aop[[#This Row],[Id]], T_Aop[], ID_Jezik + 6, 1)</f>
        <v xml:space="preserve">    Of which: Gross fee amount for contracts with unemployed individuals</v>
      </c>
      <c r="G401" s="299" t="s">
        <v>578</v>
      </c>
      <c r="H401" s="303" t="s">
        <v>579</v>
      </c>
      <c r="I401" s="303" t="s">
        <v>580</v>
      </c>
      <c r="J401" s="383" t="s">
        <v>2624</v>
      </c>
      <c r="K401" s="300" t="s">
        <v>59</v>
      </c>
      <c r="L401" s="304" t="s">
        <v>685</v>
      </c>
      <c r="M401" s="300" t="s">
        <v>361</v>
      </c>
      <c r="N401" s="332" t="s">
        <v>2645</v>
      </c>
      <c r="O401" s="80"/>
      <c r="P401" s="80"/>
    </row>
    <row r="402" spans="1:16" x14ac:dyDescent="0.3">
      <c r="A402">
        <f t="shared" si="6"/>
        <v>401</v>
      </c>
      <c r="B402" s="78" t="s">
        <v>134</v>
      </c>
      <c r="C402" s="79">
        <v>1</v>
      </c>
      <c r="D402" s="2">
        <v>650</v>
      </c>
      <c r="E402" s="80">
        <f>VLOOKUP( T_Aop[[#This Row],[Id]], T_Aop[], ID_Jezik +10, 1)</f>
        <v>551</v>
      </c>
      <c r="F402" s="79" t="str">
        <f>REPT( "  ", T_Aop[[#This Row],[Aop nivo]]) &amp; VLOOKUP( T_Aop[[#This Row],[Id]], T_Aop[], ID_Jezik + 6, 1)</f>
        <v xml:space="preserve">  b) Representation expense</v>
      </c>
      <c r="G402" s="299" t="s">
        <v>736</v>
      </c>
      <c r="H402" s="303" t="s">
        <v>750</v>
      </c>
      <c r="I402" s="303" t="s">
        <v>742</v>
      </c>
      <c r="J402" s="382" t="s">
        <v>2627</v>
      </c>
      <c r="K402" s="300">
        <v>551</v>
      </c>
      <c r="L402" s="304">
        <v>551</v>
      </c>
      <c r="M402" s="300">
        <v>551</v>
      </c>
      <c r="N402" s="66">
        <v>551</v>
      </c>
      <c r="O402" s="80"/>
      <c r="P402" s="80"/>
    </row>
    <row r="403" spans="1:16" x14ac:dyDescent="0.3">
      <c r="A403">
        <f t="shared" si="6"/>
        <v>402</v>
      </c>
      <c r="B403" s="78" t="s">
        <v>134</v>
      </c>
      <c r="C403" s="79">
        <v>1</v>
      </c>
      <c r="D403" s="2">
        <v>651</v>
      </c>
      <c r="E403" s="80">
        <f>VLOOKUP( T_Aop[[#This Row],[Id]], T_Aop[], ID_Jezik +10, 1)</f>
        <v>552</v>
      </c>
      <c r="F403" s="79" t="str">
        <f>REPT( "  ", T_Aop[[#This Row],[Aop nivo]]) &amp; VLOOKUP( T_Aop[[#This Row],[Id]], T_Aop[], ID_Jezik + 6, 1)</f>
        <v xml:space="preserve">  c) Insurance premium expanse</v>
      </c>
      <c r="G403" s="299" t="s">
        <v>737</v>
      </c>
      <c r="H403" s="303" t="s">
        <v>751</v>
      </c>
      <c r="I403" s="303" t="s">
        <v>743</v>
      </c>
      <c r="J403" s="383" t="s">
        <v>2628</v>
      </c>
      <c r="K403" s="300">
        <v>552</v>
      </c>
      <c r="L403" s="304">
        <v>552</v>
      </c>
      <c r="M403" s="300">
        <v>552</v>
      </c>
      <c r="N403" s="332">
        <v>552</v>
      </c>
      <c r="O403" s="80"/>
      <c r="P403" s="80"/>
    </row>
    <row r="404" spans="1:16" x14ac:dyDescent="0.3">
      <c r="A404">
        <f t="shared" si="6"/>
        <v>403</v>
      </c>
      <c r="B404" s="78" t="s">
        <v>134</v>
      </c>
      <c r="C404" s="79">
        <v>1</v>
      </c>
      <c r="D404" s="2">
        <v>652</v>
      </c>
      <c r="E404" s="80">
        <f>VLOOKUP( T_Aop[[#This Row],[Id]], T_Aop[], ID_Jezik +10, 1)</f>
        <v>553</v>
      </c>
      <c r="F404" s="79" t="str">
        <f>REPT( "  ", T_Aop[[#This Row],[Aop nivo]]) &amp; VLOOKUP( T_Aop[[#This Row],[Id]], T_Aop[], ID_Jezik + 6, 1)</f>
        <v xml:space="preserve">  d) Money transfer expense</v>
      </c>
      <c r="G404" s="299" t="s">
        <v>738</v>
      </c>
      <c r="H404" s="303" t="s">
        <v>752</v>
      </c>
      <c r="I404" s="303" t="s">
        <v>744</v>
      </c>
      <c r="J404" s="382" t="s">
        <v>2629</v>
      </c>
      <c r="K404" s="300">
        <v>553</v>
      </c>
      <c r="L404" s="304">
        <v>553</v>
      </c>
      <c r="M404" s="300">
        <v>553</v>
      </c>
      <c r="N404" s="66">
        <v>553</v>
      </c>
      <c r="O404" s="80"/>
      <c r="P404" s="80"/>
    </row>
    <row r="405" spans="1:16" x14ac:dyDescent="0.3">
      <c r="A405">
        <f t="shared" si="6"/>
        <v>404</v>
      </c>
      <c r="B405" s="78" t="s">
        <v>134</v>
      </c>
      <c r="C405" s="79">
        <v>1</v>
      </c>
      <c r="D405" s="2">
        <v>653</v>
      </c>
      <c r="E405" s="80">
        <f>VLOOKUP( T_Aop[[#This Row],[Id]], T_Aop[], ID_Jezik +10, 1)</f>
        <v>554</v>
      </c>
      <c r="F405" s="79" t="str">
        <f>REPT( "  ", T_Aop[[#This Row],[Aop nivo]]) &amp; VLOOKUP( T_Aop[[#This Row],[Id]], T_Aop[], ID_Jezik + 6, 1)</f>
        <v xml:space="preserve">  e) Membership fee expanse</v>
      </c>
      <c r="G405" s="299" t="s">
        <v>739</v>
      </c>
      <c r="H405" s="303" t="s">
        <v>753</v>
      </c>
      <c r="I405" s="303" t="s">
        <v>745</v>
      </c>
      <c r="J405" s="383" t="s">
        <v>2630</v>
      </c>
      <c r="K405" s="300">
        <v>554</v>
      </c>
      <c r="L405" s="300">
        <v>554</v>
      </c>
      <c r="M405" s="300">
        <v>554</v>
      </c>
      <c r="N405" s="332">
        <v>554</v>
      </c>
      <c r="O405" s="80"/>
      <c r="P405" s="80"/>
    </row>
    <row r="406" spans="1:16" ht="28.8" x14ac:dyDescent="0.3">
      <c r="A406">
        <f t="shared" si="6"/>
        <v>405</v>
      </c>
      <c r="B406" s="78" t="s">
        <v>134</v>
      </c>
      <c r="C406" s="79">
        <v>1</v>
      </c>
      <c r="D406" s="2">
        <v>654</v>
      </c>
      <c r="E406" s="80" t="str">
        <f>VLOOKUP( T_Aop[[#This Row],[Id]], T_Aop[], ID_Jezik +10, 1)</f>
        <v>part 555</v>
      </c>
      <c r="F406" s="79" t="str">
        <f>REPT( "  ", T_Aop[[#This Row],[Aop nivo]]) &amp; VLOOKUP( T_Aop[[#This Row],[Id]], T_Aop[], ID_Jezik + 6, 1)</f>
        <v xml:space="preserve">  f) Taxes on products3, duties, residential tax, gambling tax, etc.</v>
      </c>
      <c r="G406" s="299" t="s">
        <v>3011</v>
      </c>
      <c r="H406" s="303" t="s">
        <v>3020</v>
      </c>
      <c r="I406" s="303" t="s">
        <v>3022</v>
      </c>
      <c r="J406" s="382" t="s">
        <v>3024</v>
      </c>
      <c r="K406" s="300" t="s">
        <v>356</v>
      </c>
      <c r="L406" s="300" t="s">
        <v>686</v>
      </c>
      <c r="M406" s="300" t="s">
        <v>362</v>
      </c>
      <c r="N406" s="66" t="s">
        <v>2646</v>
      </c>
      <c r="O406" s="80"/>
      <c r="P406" s="80"/>
    </row>
    <row r="407" spans="1:16" ht="28.8" x14ac:dyDescent="0.3">
      <c r="A407">
        <f t="shared" si="6"/>
        <v>406</v>
      </c>
      <c r="B407" t="s">
        <v>134</v>
      </c>
      <c r="C407" s="79">
        <v>1</v>
      </c>
      <c r="D407" s="2">
        <v>655</v>
      </c>
      <c r="E407" s="2" t="str">
        <f>VLOOKUP( T_Aop[[#This Row],[Id]], T_Aop[], ID_Jezik +10, 1)</f>
        <v>part 555</v>
      </c>
      <c r="F407" t="str">
        <f>REPT( "  ", T_Aop[[#This Row],[Aop nivo]]) &amp; VLOOKUP( T_Aop[[#This Row],[Id]], T_Aop[], ID_Jezik + 6, 1)</f>
        <v xml:space="preserve">  g) Taxes on production4: property and land taxes, taxes for water and forest, fire protection, etc.</v>
      </c>
      <c r="G407" s="288" t="s">
        <v>3010</v>
      </c>
      <c r="H407" s="303" t="s">
        <v>3021</v>
      </c>
      <c r="I407" s="303" t="s">
        <v>3023</v>
      </c>
      <c r="J407" s="383" t="s">
        <v>3025</v>
      </c>
      <c r="K407" s="292" t="s">
        <v>356</v>
      </c>
      <c r="L407" s="300" t="s">
        <v>686</v>
      </c>
      <c r="M407" s="300" t="s">
        <v>362</v>
      </c>
      <c r="N407" s="332" t="s">
        <v>2646</v>
      </c>
      <c r="O407" s="80"/>
      <c r="P407" s="80">
        <v>1</v>
      </c>
    </row>
    <row r="408" spans="1:16" x14ac:dyDescent="0.3">
      <c r="A408">
        <f t="shared" si="6"/>
        <v>407</v>
      </c>
      <c r="B408" t="s">
        <v>134</v>
      </c>
      <c r="C408" s="79">
        <v>1</v>
      </c>
      <c r="D408" s="2">
        <v>656</v>
      </c>
      <c r="E408" s="10">
        <f>VLOOKUP( T_Aop[[#This Row],[Id]], T_Aop[], ID_Jezik +10, 1)</f>
        <v>559</v>
      </c>
      <c r="F408" s="3" t="str">
        <f>REPT( "  ", T_Aop[[#This Row],[Aop nivo]]) &amp; VLOOKUP( T_Aop[[#This Row],[Id]], T_Aop[], ID_Jezik + 6, 1)</f>
        <v xml:space="preserve">  h) Other non-material expenses</v>
      </c>
      <c r="G408" s="288" t="s">
        <v>740</v>
      </c>
      <c r="H408" s="303" t="s">
        <v>754</v>
      </c>
      <c r="I408" s="303" t="s">
        <v>746</v>
      </c>
      <c r="J408" s="382" t="s">
        <v>2650</v>
      </c>
      <c r="K408" s="292">
        <v>559</v>
      </c>
      <c r="L408" s="300">
        <v>559</v>
      </c>
      <c r="M408" s="300">
        <v>559</v>
      </c>
      <c r="N408" s="66">
        <v>559</v>
      </c>
      <c r="O408" s="80"/>
      <c r="P408" s="80"/>
    </row>
    <row r="409" spans="1:16" x14ac:dyDescent="0.3">
      <c r="A409">
        <f t="shared" si="6"/>
        <v>408</v>
      </c>
      <c r="B409" t="s">
        <v>134</v>
      </c>
      <c r="C409" s="79">
        <v>0</v>
      </c>
      <c r="D409" s="2">
        <v>657</v>
      </c>
      <c r="E409" s="10">
        <f>VLOOKUP( T_Aop[[#This Row],[Id]], T_Aop[], ID_Jezik +10, 1)</f>
        <v>0</v>
      </c>
      <c r="F409" s="3" t="str">
        <f>REPT( "  ", T_Aop[[#This Row],[Aop nivo]]) &amp; VLOOKUP( T_Aop[[#This Row],[Id]], T_Aop[], ID_Jezik + 6, 1)</f>
        <v>LIABILITIES AND RECEIVABLES</v>
      </c>
      <c r="G409" s="281" t="s">
        <v>377</v>
      </c>
      <c r="H409" s="303" t="s">
        <v>581</v>
      </c>
      <c r="I409" s="303" t="s">
        <v>378</v>
      </c>
      <c r="J409" s="385" t="s">
        <v>2651</v>
      </c>
      <c r="K409" s="292"/>
      <c r="L409" s="292"/>
      <c r="M409" s="292"/>
      <c r="N409" s="313"/>
      <c r="O409" s="80">
        <v>1</v>
      </c>
      <c r="P409" s="80"/>
    </row>
    <row r="410" spans="1:16" x14ac:dyDescent="0.3">
      <c r="A410">
        <f t="shared" si="6"/>
        <v>409</v>
      </c>
      <c r="B410" t="s">
        <v>134</v>
      </c>
      <c r="C410" s="79">
        <v>1</v>
      </c>
      <c r="D410" s="2">
        <v>658</v>
      </c>
      <c r="E410" s="10" t="str">
        <f>VLOOKUP( T_Aop[[#This Row],[Id]], T_Aop[], ID_Jezik +10, 1)</f>
        <v>47, except 479</v>
      </c>
      <c r="F410" s="3" t="str">
        <f>REPT( "  ", T_Aop[[#This Row],[Aop nivo]]) &amp; VLOOKUP( T_Aop[[#This Row],[Id]], T_Aop[], ID_Jezik + 6, 1)</f>
        <v xml:space="preserve">  Calculated (invoiced) value added tax (cumulative turnover of account)</v>
      </c>
      <c r="G410" s="288" t="s">
        <v>379</v>
      </c>
      <c r="H410" s="303" t="s">
        <v>582</v>
      </c>
      <c r="I410" s="303" t="s">
        <v>3009</v>
      </c>
      <c r="J410" s="382" t="s">
        <v>2652</v>
      </c>
      <c r="K410" s="292" t="s">
        <v>34</v>
      </c>
      <c r="L410" s="300" t="s">
        <v>687</v>
      </c>
      <c r="M410" s="300" t="s">
        <v>26</v>
      </c>
      <c r="N410" s="66" t="s">
        <v>2647</v>
      </c>
      <c r="O410" s="80"/>
      <c r="P410" s="80"/>
    </row>
    <row r="411" spans="1:16" x14ac:dyDescent="0.3">
      <c r="A411">
        <f t="shared" si="6"/>
        <v>410</v>
      </c>
      <c r="B411" t="s">
        <v>134</v>
      </c>
      <c r="C411">
        <v>1</v>
      </c>
      <c r="D411" s="2">
        <v>659</v>
      </c>
      <c r="E411" s="10" t="str">
        <f>VLOOKUP( T_Aop[[#This Row],[Id]], T_Aop[], ID_Jezik +10, 1)</f>
        <v>27, except 279</v>
      </c>
      <c r="F411" s="3" t="str">
        <f>REPT( "  ", T_Aop[[#This Row],[Aop nivo]]) &amp; VLOOKUP( T_Aop[[#This Row],[Id]], T_Aop[], ID_Jezik + 6, 1)</f>
        <v xml:space="preserve">  Input value added tax (cumulative turnover of account)</v>
      </c>
      <c r="G411" s="288" t="s">
        <v>380</v>
      </c>
      <c r="H411" s="56" t="s">
        <v>583</v>
      </c>
      <c r="I411" s="56" t="s">
        <v>381</v>
      </c>
      <c r="J411" s="383" t="s">
        <v>2653</v>
      </c>
      <c r="K411" s="292" t="s">
        <v>35</v>
      </c>
      <c r="L411" s="292" t="s">
        <v>688</v>
      </c>
      <c r="M411" s="292" t="s">
        <v>27</v>
      </c>
      <c r="N411" s="332" t="s">
        <v>2648</v>
      </c>
      <c r="O411" s="10"/>
      <c r="P411" s="10"/>
    </row>
    <row r="412" spans="1:16" ht="27.6" x14ac:dyDescent="0.3">
      <c r="A412">
        <f t="shared" si="6"/>
        <v>411</v>
      </c>
      <c r="B412" t="s">
        <v>134</v>
      </c>
      <c r="C412" s="3">
        <v>1</v>
      </c>
      <c r="D412" s="2">
        <v>660</v>
      </c>
      <c r="E412" s="10">
        <f>VLOOKUP( T_Aop[[#This Row],[Id]], T_Aop[], ID_Jezik +10, 1)</f>
        <v>479</v>
      </c>
      <c r="F412" s="3" t="str">
        <f>REPT( "  ", T_Aop[[#This Row],[Aop nivo]]) &amp; VLOOKUP( T_Aop[[#This Row],[Id]], T_Aop[], ID_Jezik + 6, 1)</f>
        <v xml:space="preserve">  Liabilities for VAT based on the difference between the calculated and advanced VAT (balance of account)</v>
      </c>
      <c r="G412" s="56" t="s">
        <v>584</v>
      </c>
      <c r="H412" s="56" t="s">
        <v>585</v>
      </c>
      <c r="I412" s="56" t="s">
        <v>382</v>
      </c>
      <c r="J412" s="382" t="s">
        <v>2654</v>
      </c>
      <c r="K412" s="292">
        <v>479</v>
      </c>
      <c r="L412" s="292">
        <v>479</v>
      </c>
      <c r="M412" s="292">
        <v>479</v>
      </c>
      <c r="N412" s="66">
        <v>479</v>
      </c>
      <c r="O412" s="10"/>
      <c r="P412" s="10"/>
    </row>
    <row r="413" spans="1:16" ht="27.6" x14ac:dyDescent="0.3">
      <c r="A413">
        <f t="shared" si="6"/>
        <v>412</v>
      </c>
      <c r="B413" t="s">
        <v>134</v>
      </c>
      <c r="C413" s="3">
        <v>1</v>
      </c>
      <c r="D413" s="2">
        <v>661</v>
      </c>
      <c r="E413" s="10">
        <f>VLOOKUP( T_Aop[[#This Row],[Id]], T_Aop[], ID_Jezik +10, 1)</f>
        <v>279</v>
      </c>
      <c r="F413" s="3" t="str">
        <f>REPT( "  ", T_Aop[[#This Row],[Aop nivo]]) &amp; VLOOKUP( T_Aop[[#This Row],[Id]], T_Aop[], ID_Jezik + 6, 1)</f>
        <v xml:space="preserve">  Receivables based on the difference between the advanced and calculated VAT (balance of account)</v>
      </c>
      <c r="G413" s="56" t="s">
        <v>586</v>
      </c>
      <c r="H413" s="56" t="s">
        <v>587</v>
      </c>
      <c r="I413" s="56" t="s">
        <v>383</v>
      </c>
      <c r="J413" s="383" t="s">
        <v>2655</v>
      </c>
      <c r="K413" s="292">
        <v>279</v>
      </c>
      <c r="L413" s="292">
        <v>279</v>
      </c>
      <c r="M413" s="292">
        <v>279</v>
      </c>
      <c r="N413" s="332">
        <v>279</v>
      </c>
      <c r="O413" s="10"/>
      <c r="P413" s="10"/>
    </row>
    <row r="414" spans="1:16" x14ac:dyDescent="0.3">
      <c r="A414">
        <f t="shared" si="6"/>
        <v>413</v>
      </c>
      <c r="B414" t="s">
        <v>134</v>
      </c>
      <c r="C414" s="3">
        <v>1</v>
      </c>
      <c r="D414" s="2">
        <v>662</v>
      </c>
      <c r="E414" s="10">
        <f>VLOOKUP( T_Aop[[#This Row],[Id]], T_Aop[], ID_Jezik +10, 1)</f>
        <v>271</v>
      </c>
      <c r="F414" s="3" t="str">
        <f>REPT( "  ", T_Aop[[#This Row],[Aop nivo]]) &amp; VLOOKUP( T_Aop[[#This Row],[Id]], T_Aop[], ID_Jezik + 6, 1)</f>
        <v xml:space="preserve">  VAT paid for import (cumulative turnover of account)</v>
      </c>
      <c r="G414" s="288" t="s">
        <v>588</v>
      </c>
      <c r="H414" s="56" t="s">
        <v>589</v>
      </c>
      <c r="I414" s="56" t="s">
        <v>384</v>
      </c>
      <c r="J414" s="382" t="s">
        <v>2656</v>
      </c>
      <c r="K414" s="292">
        <v>271</v>
      </c>
      <c r="L414" s="292">
        <v>271</v>
      </c>
      <c r="M414" s="292">
        <v>271</v>
      </c>
      <c r="N414" s="66">
        <v>271</v>
      </c>
      <c r="O414" s="10"/>
      <c r="P414" s="10"/>
    </row>
    <row r="415" spans="1:16" x14ac:dyDescent="0.3">
      <c r="A415">
        <f t="shared" si="6"/>
        <v>414</v>
      </c>
      <c r="B415" t="s">
        <v>134</v>
      </c>
      <c r="C415" s="3">
        <v>1</v>
      </c>
      <c r="D415" s="2">
        <v>663</v>
      </c>
      <c r="E415" s="10">
        <f>VLOOKUP( T_Aop[[#This Row],[Id]], T_Aop[], ID_Jezik +10, 1)</f>
        <v>484</v>
      </c>
      <c r="F415" s="3" t="str">
        <f>REPT( "  ", T_Aop[[#This Row],[Aop nivo]]) &amp; VLOOKUP( T_Aop[[#This Row],[Id]], T_Aop[], ID_Jezik + 6, 1)</f>
        <v xml:space="preserve">  Liabilities for VAT paid on import  (cumulative turnover of account)</v>
      </c>
      <c r="G415" s="288" t="s">
        <v>385</v>
      </c>
      <c r="H415" s="56" t="s">
        <v>590</v>
      </c>
      <c r="I415" s="56" t="s">
        <v>386</v>
      </c>
      <c r="J415" s="383" t="s">
        <v>2657</v>
      </c>
      <c r="K415" s="292">
        <v>484</v>
      </c>
      <c r="L415" s="292">
        <v>484</v>
      </c>
      <c r="M415" s="292">
        <v>484</v>
      </c>
      <c r="N415" s="332">
        <v>484</v>
      </c>
      <c r="O415" s="10"/>
      <c r="P415" s="10"/>
    </row>
    <row r="416" spans="1:16" x14ac:dyDescent="0.3">
      <c r="A416">
        <f t="shared" si="6"/>
        <v>415</v>
      </c>
      <c r="B416" t="s">
        <v>134</v>
      </c>
      <c r="C416" s="3">
        <v>1</v>
      </c>
      <c r="D416" s="2">
        <v>664</v>
      </c>
      <c r="E416" s="10">
        <f>VLOOKUP( T_Aop[[#This Row],[Id]], T_Aop[], ID_Jezik +10, 1)</f>
        <v>480</v>
      </c>
      <c r="F416" s="3" t="str">
        <f>REPT( "  ", T_Aop[[#This Row],[Aop nivo]]) &amp; VLOOKUP( T_Aop[[#This Row],[Id]], T_Aop[], ID_Jezik + 6, 1)</f>
        <v xml:space="preserve">  Liabilities for excise (cumulative turnover of account)</v>
      </c>
      <c r="G416" s="288" t="s">
        <v>387</v>
      </c>
      <c r="H416" s="56" t="s">
        <v>591</v>
      </c>
      <c r="I416" s="56" t="s">
        <v>388</v>
      </c>
      <c r="J416" s="382" t="s">
        <v>2658</v>
      </c>
      <c r="K416" s="292">
        <v>480</v>
      </c>
      <c r="L416" s="292">
        <v>480</v>
      </c>
      <c r="M416" s="292">
        <v>480</v>
      </c>
      <c r="N416" s="66">
        <v>480</v>
      </c>
      <c r="O416" s="10"/>
      <c r="P416" s="10"/>
    </row>
    <row r="417" spans="1:16" x14ac:dyDescent="0.3">
      <c r="A417">
        <f t="shared" si="6"/>
        <v>416</v>
      </c>
      <c r="B417" t="s">
        <v>134</v>
      </c>
      <c r="C417" s="3">
        <v>1</v>
      </c>
      <c r="D417" s="2">
        <v>665</v>
      </c>
      <c r="E417" s="10">
        <f>VLOOKUP( T_Aop[[#This Row],[Id]], T_Aop[], ID_Jezik +10, 1)</f>
        <v>0</v>
      </c>
      <c r="F417" s="3" t="str">
        <f>REPT( "  ", T_Aop[[#This Row],[Aop nivo]]) &amp; VLOOKUP( T_Aop[[#This Row],[Id]], T_Aop[], ID_Jezik + 6, 1)</f>
        <v xml:space="preserve">  Income realized on the basis of subcontracting</v>
      </c>
      <c r="G417" s="288" t="s">
        <v>389</v>
      </c>
      <c r="H417" s="56" t="s">
        <v>592</v>
      </c>
      <c r="I417" s="56" t="s">
        <v>390</v>
      </c>
      <c r="J417" s="383" t="s">
        <v>2659</v>
      </c>
      <c r="K417" s="292" t="s">
        <v>733</v>
      </c>
      <c r="L417" s="292" t="s">
        <v>747</v>
      </c>
      <c r="M417" s="292"/>
      <c r="N417" s="332" t="s">
        <v>2649</v>
      </c>
      <c r="O417" s="10"/>
      <c r="P417" s="10"/>
    </row>
    <row r="418" spans="1:16" x14ac:dyDescent="0.3">
      <c r="A418">
        <f t="shared" si="6"/>
        <v>417</v>
      </c>
      <c r="B418" t="s">
        <v>134</v>
      </c>
      <c r="C418" s="3">
        <v>1</v>
      </c>
      <c r="D418" s="2">
        <v>666</v>
      </c>
      <c r="E418" s="10">
        <f>VLOOKUP( T_Aop[[#This Row],[Id]], T_Aop[], ID_Jezik +10, 1)</f>
        <v>0</v>
      </c>
      <c r="F418" s="3" t="str">
        <f>REPT( "  ", T_Aop[[#This Row],[Aop nivo]]) &amp; VLOOKUP( T_Aop[[#This Row],[Id]], T_Aop[], ID_Jezik + 6, 1)</f>
        <v xml:space="preserve">  Payment to subcontractors for work, delivered products and services</v>
      </c>
      <c r="G418" s="288" t="s">
        <v>351</v>
      </c>
      <c r="H418" s="56" t="s">
        <v>593</v>
      </c>
      <c r="I418" s="56" t="s">
        <v>391</v>
      </c>
      <c r="J418" s="382" t="s">
        <v>2660</v>
      </c>
      <c r="K418" s="292" t="s">
        <v>733</v>
      </c>
      <c r="L418" s="292" t="s">
        <v>747</v>
      </c>
      <c r="M418" s="292"/>
      <c r="N418" s="66" t="s">
        <v>2649</v>
      </c>
      <c r="O418" s="10"/>
      <c r="P418" s="10"/>
    </row>
    <row r="419" spans="1:16" ht="27.6" x14ac:dyDescent="0.3">
      <c r="A419">
        <f t="shared" si="6"/>
        <v>418</v>
      </c>
      <c r="B419" t="s">
        <v>134</v>
      </c>
      <c r="C419" s="3">
        <v>1</v>
      </c>
      <c r="D419" s="10">
        <v>667</v>
      </c>
      <c r="E419" s="10">
        <f>VLOOKUP( T_Aop[[#This Row],[Id]], T_Aop[], ID_Jezik +10, 1)</f>
        <v>0</v>
      </c>
      <c r="F419" s="3" t="str">
        <f>REPT( "  ", T_Aop[[#This Row],[Aop nivo]]) &amp; VLOOKUP( T_Aop[[#This Row],[Id]], T_Aop[], ID_Jezik + 6, 1)</f>
        <v xml:space="preserve">  Total number of working hours (effective working hours that do not include sick leave, vacation and national holidays, etc.)</v>
      </c>
      <c r="G419" s="288" t="s">
        <v>352</v>
      </c>
      <c r="H419" s="56" t="s">
        <v>594</v>
      </c>
      <c r="I419" s="56" t="s">
        <v>392</v>
      </c>
      <c r="J419" s="383" t="s">
        <v>2661</v>
      </c>
      <c r="K419" s="292" t="s">
        <v>733</v>
      </c>
      <c r="L419" s="292" t="s">
        <v>747</v>
      </c>
      <c r="M419" s="292"/>
      <c r="N419" s="338" t="s">
        <v>2649</v>
      </c>
      <c r="O419" s="10"/>
      <c r="P419" s="10">
        <v>1</v>
      </c>
    </row>
    <row r="420" spans="1:16" x14ac:dyDescent="0.3">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3">
      <c r="A421">
        <f t="shared" si="6"/>
        <v>420</v>
      </c>
      <c r="B421" t="s">
        <v>135</v>
      </c>
      <c r="C421" s="3">
        <v>0</v>
      </c>
      <c r="D421">
        <v>901</v>
      </c>
      <c r="E421" s="2" t="str">
        <f>VLOOKUP( T_Aop[[#This Row],[Id]], T_Aop[], ID_Jezik +10, 1)</f>
        <v>1.</v>
      </c>
      <c r="F421" t="str">
        <f>REPT( "  ", T_Aop[[#This Row],[Aop nivo]]) &amp; VLOOKUP( T_Aop[[#This Row],[Id]], T_Aop[], ID_Jezik + 6, 1)</f>
        <v>1. Value on day 01.01.2021</v>
      </c>
      <c r="G421" s="305" t="str">
        <f>CONCATENATE("1. Stanje na dan ", Podesavanja!$X$6, " god.")</f>
        <v>1. Stanje na dan 01.01.2021. god.</v>
      </c>
      <c r="H421" s="306" t="str">
        <f>CONCATENATE("1. Стање на дан ", Podesavanja!$X$6, " год.")</f>
        <v>1. Стање на дан 01.01.2021. год.</v>
      </c>
      <c r="I421" s="306" t="str">
        <f>CONCATENATE("1. Value on day ", Podesavanja!$Y$6)</f>
        <v>1. Value on day 01.01.2021</v>
      </c>
      <c r="J421" s="306" t="str">
        <f>CONCATENATE("1. Состояние на дату", Podesavanja!$Y$6)</f>
        <v>1. Состояние на дату01.01.2021</v>
      </c>
      <c r="K421" s="292" t="s">
        <v>702</v>
      </c>
      <c r="L421" s="292" t="s">
        <v>702</v>
      </c>
      <c r="M421" s="292" t="s">
        <v>702</v>
      </c>
      <c r="N421" s="292" t="s">
        <v>702</v>
      </c>
      <c r="O421" s="10">
        <v>1</v>
      </c>
      <c r="P421" s="10"/>
    </row>
    <row r="422" spans="1:16" x14ac:dyDescent="0.3">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3">
      <c r="A423">
        <f t="shared" si="6"/>
        <v>422</v>
      </c>
      <c r="B423" t="s">
        <v>135</v>
      </c>
      <c r="C423" s="3">
        <v>2</v>
      </c>
      <c r="D423">
        <v>902</v>
      </c>
      <c r="E423" s="2" t="str">
        <f>VLOOKUP( T_Aop[[#This Row],[Id]], T_Aop[], ID_Jezik +10, 1)</f>
        <v>2.</v>
      </c>
      <c r="F423" t="str">
        <f>REPT( "  ", T_Aop[[#This Row],[Aop nivo]]) &amp; VLOOKUP( T_Aop[[#This Row],[Id]], T_Aop[], ID_Jezik + 6, 1)</f>
        <v xml:space="preserve">    2. Effects of the changes in accounting policies</v>
      </c>
      <c r="G423" s="288" t="s">
        <v>1603</v>
      </c>
      <c r="H423" s="56" t="s">
        <v>1631</v>
      </c>
      <c r="I423" s="56" t="s">
        <v>2490</v>
      </c>
      <c r="J423" s="283" t="s">
        <v>2437</v>
      </c>
      <c r="K423" s="292" t="s">
        <v>703</v>
      </c>
      <c r="L423" s="292" t="s">
        <v>703</v>
      </c>
      <c r="M423" s="292" t="s">
        <v>703</v>
      </c>
      <c r="N423" s="292" t="s">
        <v>703</v>
      </c>
      <c r="O423" s="10"/>
      <c r="P423" s="10"/>
    </row>
    <row r="424" spans="1:16" x14ac:dyDescent="0.3">
      <c r="A424">
        <f t="shared" si="6"/>
        <v>423</v>
      </c>
      <c r="B424" t="s">
        <v>135</v>
      </c>
      <c r="C424" s="3">
        <v>2</v>
      </c>
      <c r="D424">
        <v>903</v>
      </c>
      <c r="E424" s="2" t="str">
        <f>VLOOKUP( T_Aop[[#This Row],[Id]], T_Aop[], ID_Jezik +10, 1)</f>
        <v>3.</v>
      </c>
      <c r="F424" t="str">
        <f>REPT( "  ", T_Aop[[#This Row],[Aop nivo]]) &amp; VLOOKUP( T_Aop[[#This Row],[Id]], T_Aop[], ID_Jezik + 6, 1)</f>
        <v xml:space="preserve">    3. Effects of the corrections of material errors</v>
      </c>
      <c r="G424" s="288" t="s">
        <v>2242</v>
      </c>
      <c r="H424" s="56" t="s">
        <v>2239</v>
      </c>
      <c r="I424" s="56" t="s">
        <v>2491</v>
      </c>
      <c r="J424" s="283" t="s">
        <v>2438</v>
      </c>
      <c r="K424" s="292" t="s">
        <v>704</v>
      </c>
      <c r="L424" s="292" t="s">
        <v>704</v>
      </c>
      <c r="M424" s="292" t="s">
        <v>704</v>
      </c>
      <c r="N424" s="292" t="s">
        <v>704</v>
      </c>
      <c r="O424" s="10"/>
      <c r="P424" s="10"/>
    </row>
    <row r="425" spans="1:16" ht="27.6" x14ac:dyDescent="0.3">
      <c r="A425">
        <f t="shared" si="6"/>
        <v>424</v>
      </c>
      <c r="B425" t="s">
        <v>135</v>
      </c>
      <c r="C425" s="3">
        <v>1</v>
      </c>
      <c r="D425">
        <v>904</v>
      </c>
      <c r="E425" s="2" t="str">
        <f>VLOOKUP( T_Aop[[#This Row],[Id]], T_Aop[], ID_Jezik +10, 1)</f>
        <v>4.</v>
      </c>
      <c r="F425" t="str">
        <f>REPT( "  ", T_Aop[[#This Row],[Aop nivo]]) &amp; VLOOKUP( T_Aop[[#This Row],[Id]], T_Aop[], ID_Jezik + 6, 1)</f>
        <v xml:space="preserve">  4. New value on day 01.01.2021 (901 ± 902 ± 903)</v>
      </c>
      <c r="G425" s="310" t="str">
        <f>CONCATENATE("4. Ponovo iskazano stanje na dan ", Podesavanja!$X$6, " god. (901 ± 902 ± 903)")</f>
        <v>4. Ponovo iskazano stanje na dan 01.01.2021. god. (901 ± 902 ± 903)</v>
      </c>
      <c r="H425" s="306" t="str">
        <f>CONCATENATE("4. Поново исказано стање на дан ", Podesavanja!$X$6, " год.  (901 ± 902 ± 903)")</f>
        <v>4. Поново исказано стање на дан 01.01.2021. год.  (901 ± 902 ± 903)</v>
      </c>
      <c r="I425" s="306" t="str">
        <f>CONCATENATE("4. New value on day ",  Podesavanja!$Y$6, " (901 ± 902 ± 903)")</f>
        <v>4. New value on day 01.01.2021 (901 ± 902 ± 903)</v>
      </c>
      <c r="J425" s="309" t="str">
        <f>CONCATENATE("4. Повторно представленное состояние на дату ", Podesavanja!$X$6, " года (901 ± 902 ± 903)")</f>
        <v>4. Повторно представленное состояние на дату 01.01.2021. года (901 ± 902 ± 903)</v>
      </c>
      <c r="K425" s="292" t="s">
        <v>705</v>
      </c>
      <c r="L425" s="292" t="s">
        <v>705</v>
      </c>
      <c r="M425" s="292" t="s">
        <v>705</v>
      </c>
      <c r="N425" s="292" t="s">
        <v>705</v>
      </c>
      <c r="O425" s="10">
        <v>1</v>
      </c>
      <c r="P425" s="10"/>
    </row>
    <row r="426" spans="1:16" x14ac:dyDescent="0.3">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3">
      <c r="A427">
        <f t="shared" si="6"/>
        <v>426</v>
      </c>
      <c r="B427" t="s">
        <v>135</v>
      </c>
      <c r="C427" s="3">
        <v>2</v>
      </c>
      <c r="D427">
        <v>905</v>
      </c>
      <c r="E427" s="2" t="str">
        <f>VLOOKUP( T_Aop[[#This Row],[Id]], T_Aop[], ID_Jezik +10, 1)</f>
        <v>5.</v>
      </c>
      <c r="F427" t="str">
        <f>REPT( "  ", T_Aop[[#This Row],[Aop nivo]]) &amp; VLOOKUP( T_Aop[[#This Row],[Id]], T_Aop[], ID_Jezik + 6, 1)</f>
        <v xml:space="preserve">    5. Profit/(loss) for the year</v>
      </c>
      <c r="G427" s="56" t="s">
        <v>1602</v>
      </c>
      <c r="H427" s="56" t="s">
        <v>1632</v>
      </c>
      <c r="I427" s="308" t="s">
        <v>2488</v>
      </c>
      <c r="J427" s="283" t="s">
        <v>2439</v>
      </c>
      <c r="K427" s="292" t="s">
        <v>706</v>
      </c>
      <c r="L427" s="292" t="s">
        <v>706</v>
      </c>
      <c r="M427" s="292" t="s">
        <v>706</v>
      </c>
      <c r="N427" s="292" t="s">
        <v>706</v>
      </c>
      <c r="O427" s="10"/>
      <c r="P427" s="10"/>
    </row>
    <row r="428" spans="1:16" x14ac:dyDescent="0.3">
      <c r="A428">
        <f t="shared" si="6"/>
        <v>427</v>
      </c>
      <c r="B428" t="s">
        <v>135</v>
      </c>
      <c r="C428" s="3">
        <v>2</v>
      </c>
      <c r="D428">
        <v>906</v>
      </c>
      <c r="E428" s="2" t="str">
        <f>VLOOKUP( T_Aop[[#This Row],[Id]], T_Aop[], ID_Jezik +10, 1)</f>
        <v>6.</v>
      </c>
      <c r="F428" t="str">
        <f>REPT( "  ", T_Aop[[#This Row],[Aop nivo]]) &amp; VLOOKUP( T_Aop[[#This Row],[Id]], T_Aop[], ID_Jezik + 6, 1)</f>
        <v xml:space="preserve">    6. Other total result for the year</v>
      </c>
      <c r="G428" s="56" t="s">
        <v>1604</v>
      </c>
      <c r="H428" s="56" t="s">
        <v>1633</v>
      </c>
      <c r="I428" s="308" t="s">
        <v>2489</v>
      </c>
      <c r="J428" s="283" t="s">
        <v>2440</v>
      </c>
      <c r="K428" s="292" t="s">
        <v>707</v>
      </c>
      <c r="L428" s="292" t="s">
        <v>707</v>
      </c>
      <c r="M428" s="292" t="s">
        <v>707</v>
      </c>
      <c r="N428" s="292" t="s">
        <v>707</v>
      </c>
      <c r="O428" s="10"/>
      <c r="P428" s="10">
        <v>1</v>
      </c>
    </row>
    <row r="429" spans="1:16" x14ac:dyDescent="0.3">
      <c r="A429">
        <f t="shared" si="6"/>
        <v>428</v>
      </c>
      <c r="B429" t="s">
        <v>135</v>
      </c>
      <c r="C429" s="3">
        <v>1</v>
      </c>
      <c r="D429">
        <v>907</v>
      </c>
      <c r="E429" s="2" t="str">
        <f>VLOOKUP( T_Aop[[#This Row],[Id]], T_Aop[], ID_Jezik +10, 1)</f>
        <v>7.</v>
      </c>
      <c r="F429" t="str">
        <f>REPT( "  ", T_Aop[[#This Row],[Aop nivo]]) &amp; VLOOKUP( T_Aop[[#This Row],[Id]], T_Aop[], ID_Jezik + 6, 1)</f>
        <v xml:space="preserve">  7. Total profit/(loss)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3">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3">
      <c r="A431">
        <f t="shared" si="6"/>
        <v>430</v>
      </c>
      <c r="B431" t="s">
        <v>135</v>
      </c>
      <c r="C431" s="3">
        <v>2</v>
      </c>
      <c r="D431">
        <v>908</v>
      </c>
      <c r="E431" s="2" t="str">
        <f>VLOOKUP( T_Aop[[#This Row],[Id]], T_Aop[], ID_Jezik +10, 1)</f>
        <v>8.</v>
      </c>
      <c r="F431" t="str">
        <f>REPT( "  ", T_Aop[[#This Row],[Aop nivo]]) &amp; VLOOKUP( T_Aop[[#This Row],[Id]], T_Aop[], ID_Jezik + 6, 1)</f>
        <v xml:space="preserve">    8. New issuance of the shareholders equity and other increases in capital</v>
      </c>
      <c r="G431" s="56" t="s">
        <v>2241</v>
      </c>
      <c r="H431" s="56" t="s">
        <v>2240</v>
      </c>
      <c r="I431" s="308" t="s">
        <v>2492</v>
      </c>
      <c r="J431" s="283" t="s">
        <v>2441</v>
      </c>
      <c r="K431" s="292" t="s">
        <v>709</v>
      </c>
      <c r="L431" s="292" t="s">
        <v>709</v>
      </c>
      <c r="M431" s="292" t="s">
        <v>709</v>
      </c>
      <c r="N431" s="292" t="s">
        <v>709</v>
      </c>
      <c r="O431" s="10"/>
      <c r="P431" s="10"/>
    </row>
    <row r="432" spans="1:16" x14ac:dyDescent="0.3">
      <c r="A432">
        <f t="shared" si="6"/>
        <v>431</v>
      </c>
      <c r="B432" t="s">
        <v>135</v>
      </c>
      <c r="C432" s="3">
        <v>2</v>
      </c>
      <c r="D432">
        <v>909</v>
      </c>
      <c r="E432" s="2" t="str">
        <f>VLOOKUP( T_Aop[[#This Row],[Id]], T_Aop[], ID_Jezik +10, 1)</f>
        <v>9.</v>
      </c>
      <c r="F432" t="str">
        <f>REPT( "  ", T_Aop[[#This Row],[Aop nivo]]) &amp; VLOOKUP( T_Aop[[#This Row],[Id]], T_Aop[], ID_Jezik + 6, 1)</f>
        <v xml:space="preserve">    9. Acquisition of own shares and other decreases in capital</v>
      </c>
      <c r="G432" s="56" t="s">
        <v>1605</v>
      </c>
      <c r="H432" s="56" t="s">
        <v>1634</v>
      </c>
      <c r="I432" s="308" t="s">
        <v>2493</v>
      </c>
      <c r="J432" s="283" t="s">
        <v>2442</v>
      </c>
      <c r="K432" s="292" t="s">
        <v>710</v>
      </c>
      <c r="L432" s="292" t="s">
        <v>710</v>
      </c>
      <c r="M432" s="292" t="s">
        <v>710</v>
      </c>
      <c r="N432" s="292" t="s">
        <v>710</v>
      </c>
      <c r="O432" s="10"/>
      <c r="P432" s="10"/>
    </row>
    <row r="433" spans="1:16" x14ac:dyDescent="0.3">
      <c r="A433">
        <f t="shared" si="6"/>
        <v>432</v>
      </c>
      <c r="B433" t="s">
        <v>135</v>
      </c>
      <c r="C433" s="3">
        <v>2</v>
      </c>
      <c r="D433">
        <v>910</v>
      </c>
      <c r="E433" s="2" t="str">
        <f>VLOOKUP( T_Aop[[#This Row],[Id]], T_Aop[], ID_Jezik +10, 1)</f>
        <v>10.</v>
      </c>
      <c r="F433" t="str">
        <f>REPT( "  ", T_Aop[[#This Row],[Aop nivo]]) &amp; VLOOKUP( T_Aop[[#This Row],[Id]], T_Aop[], ID_Jezik + 6, 1)</f>
        <v xml:space="preserve">    10. Declared dividends</v>
      </c>
      <c r="G433" s="56" t="s">
        <v>1606</v>
      </c>
      <c r="H433" s="56" t="s">
        <v>1635</v>
      </c>
      <c r="I433" s="308" t="s">
        <v>2486</v>
      </c>
      <c r="J433" s="283" t="s">
        <v>2443</v>
      </c>
      <c r="K433" s="292" t="s">
        <v>711</v>
      </c>
      <c r="L433" s="292" t="s">
        <v>711</v>
      </c>
      <c r="M433" s="292" t="s">
        <v>711</v>
      </c>
      <c r="N433" s="292" t="s">
        <v>711</v>
      </c>
      <c r="O433" s="10"/>
      <c r="P433" s="10"/>
    </row>
    <row r="434" spans="1:16" x14ac:dyDescent="0.3">
      <c r="A434">
        <f t="shared" si="6"/>
        <v>433</v>
      </c>
      <c r="B434" t="s">
        <v>135</v>
      </c>
      <c r="C434" s="3">
        <v>2</v>
      </c>
      <c r="D434">
        <v>911</v>
      </c>
      <c r="E434" s="2" t="str">
        <f>VLOOKUP( T_Aop[[#This Row],[Id]], T_Aop[], ID_Jezik +10, 1)</f>
        <v>11.</v>
      </c>
      <c r="F434" t="str">
        <f>REPT( "  ", T_Aop[[#This Row],[Aop nivo]]) &amp; VLOOKUP( T_Aop[[#This Row],[Id]], T_Aop[], ID_Jezik + 6, 1)</f>
        <v xml:space="preserve">    11. Other distributions of the net income and covering the loss</v>
      </c>
      <c r="G434" s="56" t="s">
        <v>1607</v>
      </c>
      <c r="H434" s="56" t="s">
        <v>1636</v>
      </c>
      <c r="I434" s="308" t="s">
        <v>2487</v>
      </c>
      <c r="J434" s="283" t="s">
        <v>2444</v>
      </c>
      <c r="K434" s="292" t="s">
        <v>712</v>
      </c>
      <c r="L434" s="292" t="s">
        <v>712</v>
      </c>
      <c r="M434" s="292" t="s">
        <v>712</v>
      </c>
      <c r="N434" s="292" t="s">
        <v>712</v>
      </c>
      <c r="O434" s="10"/>
      <c r="P434" s="10"/>
    </row>
    <row r="435" spans="1:16" x14ac:dyDescent="0.3">
      <c r="A435">
        <f t="shared" si="6"/>
        <v>434</v>
      </c>
      <c r="B435" t="s">
        <v>135</v>
      </c>
      <c r="C435" s="3">
        <v>2</v>
      </c>
      <c r="D435">
        <v>912</v>
      </c>
      <c r="E435" s="2" t="str">
        <f>VLOOKUP( T_Aop[[#This Row],[Id]], T_Aop[], ID_Jezik +10, 1)</f>
        <v>12.</v>
      </c>
      <c r="F435" t="str">
        <f>REPT( "  ", T_Aop[[#This Row],[Aop nivo]]) &amp; VLOOKUP( T_Aop[[#This Row],[Id]], T_Aop[], ID_Jezik + 6, 1)</f>
        <v xml:space="preserve">    12.Other changes</v>
      </c>
      <c r="G435" s="306" t="s">
        <v>1608</v>
      </c>
      <c r="H435" s="306" t="s">
        <v>1637</v>
      </c>
      <c r="I435" s="306" t="s">
        <v>2485</v>
      </c>
      <c r="J435" s="306" t="s">
        <v>2445</v>
      </c>
      <c r="K435" s="292" t="s">
        <v>713</v>
      </c>
      <c r="L435" s="292" t="s">
        <v>713</v>
      </c>
      <c r="M435" s="292" t="s">
        <v>713</v>
      </c>
      <c r="N435" s="292" t="s">
        <v>713</v>
      </c>
      <c r="O435" s="10">
        <v>1</v>
      </c>
      <c r="P435" s="10">
        <v>1</v>
      </c>
    </row>
    <row r="436" spans="1:16" x14ac:dyDescent="0.3">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7.6" x14ac:dyDescent="0.3">
      <c r="A437">
        <f t="shared" si="6"/>
        <v>436</v>
      </c>
      <c r="B437" t="s">
        <v>135</v>
      </c>
      <c r="C437" s="3">
        <v>1</v>
      </c>
      <c r="D437">
        <v>913</v>
      </c>
      <c r="E437" s="2" t="str">
        <f>VLOOKUP( T_Aop[[#This Row],[Id]], T_Aop[], ID_Jezik +10, 1)</f>
        <v>13.</v>
      </c>
      <c r="F437" s="183" t="str">
        <f>REPT( "  ", T_Aop[[#This Row],[Aop nivo]]) &amp; VLOOKUP( T_Aop[[#This Row],[Id]], T_Aop[], ID_Jezik + 6, 1)</f>
        <v xml:space="preserve">  13. Value on day 31.12.2021 / 01.01.2022 
(904 ± 907 ± 908 - 909 - 910 ± 911 ± 912)</v>
      </c>
      <c r="G437" s="306" t="str">
        <f>CONCATENATE("13. Stanje na dan ", Podesavanja!$X$5, " god. / ", Podesavanja!$X$4, " god. 
   (904 ± 907 ± 908 - 909 - 910 ± 911 ± 912)")</f>
        <v>13. Stanje na dan 31.12.2021. god. / 01.01.2022. god. 
   (904 ± 907 ± 908 - 909 - 910 ± 911 ± 912)</v>
      </c>
      <c r="H437" s="306" t="str">
        <f>CONCATENATE("13. Стање на дан ", Podesavanja!$X$5, " год. / ", Podesavanja!$X$4, " год. 
(904 ± 907 ± 908 - 909 - 910 ± 911 ± 912)")</f>
        <v>13. Стање на дан 31.12.2021. год. / 01.01.2022. год. 
(904 ± 907 ± 908 - 909 - 910 ± 911 ± 912)</v>
      </c>
      <c r="I437" s="306" t="str">
        <f>CONCATENATE("13. Value on day ", Podesavanja!$Y$5," / ", Podesavanja!$Y$4, " 
(904 ± 907 ± 908 - 909 - 910 ± 911 ± 912)")</f>
        <v>13. Value on day 31.12.2021 / 01.01.2022 
(904 ± 907 ± 908 - 909 - 910 ± 911 ± 912)</v>
      </c>
      <c r="J437" s="306" t="str">
        <f>CONCATENATE("13. Состояние на дату ", Podesavanja!$X$5, " года / ", Podesavanja!$X$4, " god. 
(904 ± 907 ± 908 - 909 - 910 ± 911 ± 912)")</f>
        <v>13. Состояние на дату 31.12.2021. года / 01.01.2022. god. 
(904 ± 907 ± 908 - 909 - 910 ± 911 ± 912)</v>
      </c>
      <c r="K437" s="292" t="s">
        <v>714</v>
      </c>
      <c r="L437" s="292" t="s">
        <v>714</v>
      </c>
      <c r="M437" s="292" t="s">
        <v>714</v>
      </c>
      <c r="N437" s="292" t="s">
        <v>714</v>
      </c>
      <c r="O437" s="10"/>
      <c r="P437" s="10"/>
    </row>
    <row r="438" spans="1:16" x14ac:dyDescent="0.3">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3">
      <c r="A439">
        <f t="shared" si="6"/>
        <v>438</v>
      </c>
      <c r="B439" t="s">
        <v>135</v>
      </c>
      <c r="C439" s="3">
        <v>2</v>
      </c>
      <c r="D439">
        <v>914</v>
      </c>
      <c r="E439" s="2" t="str">
        <f>VLOOKUP( T_Aop[[#This Row],[Id]], T_Aop[], ID_Jezik +10, 1)</f>
        <v>14.</v>
      </c>
      <c r="F439" t="str">
        <f>REPT( "  ", T_Aop[[#This Row],[Aop nivo]]) &amp; VLOOKUP( T_Aop[[#This Row],[Id]], T_Aop[], ID_Jezik + 6, 1)</f>
        <v xml:space="preserve">    14. Effects of the changes in accounting policies</v>
      </c>
      <c r="G439" s="56" t="s">
        <v>1609</v>
      </c>
      <c r="H439" s="56" t="s">
        <v>1638</v>
      </c>
      <c r="I439" s="308" t="s">
        <v>2494</v>
      </c>
      <c r="J439" s="283" t="s">
        <v>2446</v>
      </c>
      <c r="K439" s="292" t="s">
        <v>715</v>
      </c>
      <c r="L439" s="292" t="s">
        <v>715</v>
      </c>
      <c r="M439" s="292" t="s">
        <v>715</v>
      </c>
      <c r="N439" s="292" t="s">
        <v>715</v>
      </c>
      <c r="O439" s="10"/>
      <c r="P439" s="10"/>
    </row>
    <row r="440" spans="1:16" x14ac:dyDescent="0.3">
      <c r="A440">
        <f t="shared" si="6"/>
        <v>439</v>
      </c>
      <c r="B440" t="s">
        <v>135</v>
      </c>
      <c r="C440" s="3">
        <v>2</v>
      </c>
      <c r="D440">
        <v>915</v>
      </c>
      <c r="E440" s="2" t="str">
        <f>VLOOKUP( T_Aop[[#This Row],[Id]], T_Aop[], ID_Jezik +10, 1)</f>
        <v>15</v>
      </c>
      <c r="F440" t="str">
        <f>REPT( "  ", T_Aop[[#This Row],[Aop nivo]]) &amp; VLOOKUP( T_Aop[[#This Row],[Id]], T_Aop[], ID_Jezik + 6, 1)</f>
        <v xml:space="preserve">    15. Effects of errors corrections</v>
      </c>
      <c r="G440" s="56" t="s">
        <v>2916</v>
      </c>
      <c r="H440" s="56" t="s">
        <v>2917</v>
      </c>
      <c r="I440" s="308" t="s">
        <v>2495</v>
      </c>
      <c r="J440" s="283" t="s">
        <v>2447</v>
      </c>
      <c r="K440" s="292" t="s">
        <v>1422</v>
      </c>
      <c r="L440" s="292" t="s">
        <v>1422</v>
      </c>
      <c r="M440" s="292" t="s">
        <v>1422</v>
      </c>
      <c r="N440" s="292" t="s">
        <v>1422</v>
      </c>
      <c r="O440" s="10"/>
      <c r="P440" s="10"/>
    </row>
    <row r="441" spans="1:16" x14ac:dyDescent="0.3">
      <c r="A441">
        <f t="shared" si="6"/>
        <v>440</v>
      </c>
      <c r="B441" t="s">
        <v>135</v>
      </c>
      <c r="C441" s="3">
        <v>1</v>
      </c>
      <c r="D441">
        <v>916</v>
      </c>
      <c r="E441" s="2" t="str">
        <f>VLOOKUP( T_Aop[[#This Row],[Id]], T_Aop[], ID_Jezik +10, 1)</f>
        <v>16</v>
      </c>
      <c r="F441" t="str">
        <f>REPT( "  ", T_Aop[[#This Row],[Aop nivo]]) &amp; VLOOKUP( T_Aop[[#This Row],[Id]], T_Aop[], ID_Jezik + 6, 1)</f>
        <v xml:space="preserve">  16. New value on day 01.01.2022 (913 ± 914 ± 915)</v>
      </c>
      <c r="G441" s="306" t="str">
        <f>CONCATENATE("16. Ponovo iskazano stanje na dan ", Podesavanja!$X$4, " godine (913 ± 914 ± 915)")</f>
        <v>16. Ponovo iskazano stanje na dan 01.01.2022. godine (913 ± 914 ± 915)</v>
      </c>
      <c r="H441" s="306" t="str">
        <f>CONCATENATE("16. Поново исказано стање на дан ", Podesavanja!$X$4, " године (913 ± 914 ± 915)")</f>
        <v>16. Поново исказано стање на дан 01.01.2022. године (913 ± 914 ± 915)</v>
      </c>
      <c r="I441" s="306" t="str">
        <f>CONCATENATE("16. New value on day ",  Podesavanja!$Y$4," (913 ± 914 ± 915)")</f>
        <v>16. New value on day 01.01.2022 (913 ± 914 ± 915)</v>
      </c>
      <c r="J441" s="306" t="str">
        <f>CONCATENATE("16. Повторно представленное состояние", Podesavanja!$X$4, " года (913 ± 914 ± 915)")</f>
        <v>16. Повторно представленное состояние01.01.2022. года (913 ± 914 ± 915)</v>
      </c>
      <c r="K441" s="292" t="s">
        <v>1616</v>
      </c>
      <c r="L441" s="292" t="s">
        <v>1616</v>
      </c>
      <c r="M441" s="292" t="s">
        <v>1616</v>
      </c>
      <c r="N441" s="292" t="s">
        <v>1616</v>
      </c>
      <c r="O441" s="10">
        <v>1</v>
      </c>
      <c r="P441" s="10"/>
    </row>
    <row r="442" spans="1:16" x14ac:dyDescent="0.3">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3">
      <c r="A443">
        <f t="shared" si="6"/>
        <v>442</v>
      </c>
      <c r="B443" t="s">
        <v>135</v>
      </c>
      <c r="C443" s="3">
        <v>2</v>
      </c>
      <c r="D443">
        <v>917</v>
      </c>
      <c r="E443" s="2" t="str">
        <f>VLOOKUP( T_Aop[[#This Row],[Id]], T_Aop[], ID_Jezik +10, 1)</f>
        <v>17</v>
      </c>
      <c r="F443" t="str">
        <f>REPT( "  ", T_Aop[[#This Row],[Aop nivo]]) &amp; VLOOKUP( T_Aop[[#This Row],[Id]], T_Aop[], ID_Jezik + 6, 1)</f>
        <v xml:space="preserve">    17. Profit/(loss) for the year</v>
      </c>
      <c r="G443" s="56" t="s">
        <v>1610</v>
      </c>
      <c r="H443" s="56" t="s">
        <v>1639</v>
      </c>
      <c r="I443" s="308" t="s">
        <v>2496</v>
      </c>
      <c r="J443" s="282" t="s">
        <v>2448</v>
      </c>
      <c r="K443" s="292" t="s">
        <v>1617</v>
      </c>
      <c r="L443" s="292" t="s">
        <v>1617</v>
      </c>
      <c r="M443" s="292" t="s">
        <v>1617</v>
      </c>
      <c r="N443" s="292" t="s">
        <v>1617</v>
      </c>
      <c r="O443" s="10"/>
      <c r="P443" s="10"/>
    </row>
    <row r="444" spans="1:16" x14ac:dyDescent="0.3">
      <c r="A444">
        <f t="shared" si="6"/>
        <v>443</v>
      </c>
      <c r="B444" t="s">
        <v>135</v>
      </c>
      <c r="C444" s="3">
        <v>2</v>
      </c>
      <c r="D444">
        <v>918</v>
      </c>
      <c r="E444" s="2" t="str">
        <f>VLOOKUP( T_Aop[[#This Row],[Id]], T_Aop[], ID_Jezik +10, 1)</f>
        <v>18</v>
      </c>
      <c r="F444" t="str">
        <f>REPT( "  ", T_Aop[[#This Row],[Aop nivo]]) &amp; VLOOKUP( T_Aop[[#This Row],[Id]], T_Aop[], ID_Jezik + 6, 1)</f>
        <v xml:space="preserve">    18. Other total result  for the year</v>
      </c>
      <c r="G444" s="56" t="s">
        <v>2895</v>
      </c>
      <c r="H444" s="56" t="s">
        <v>2896</v>
      </c>
      <c r="I444" s="308" t="s">
        <v>2897</v>
      </c>
      <c r="J444" s="282" t="s">
        <v>2449</v>
      </c>
      <c r="K444" s="292" t="s">
        <v>1618</v>
      </c>
      <c r="L444" s="292" t="s">
        <v>1618</v>
      </c>
      <c r="M444" s="292" t="s">
        <v>1618</v>
      </c>
      <c r="N444" s="292" t="s">
        <v>1618</v>
      </c>
      <c r="O444" s="10"/>
      <c r="P444" s="10">
        <v>1</v>
      </c>
    </row>
    <row r="445" spans="1:16" x14ac:dyDescent="0.3">
      <c r="A445">
        <f t="shared" si="6"/>
        <v>444</v>
      </c>
      <c r="B445" t="s">
        <v>135</v>
      </c>
      <c r="C445" s="3">
        <v>1</v>
      </c>
      <c r="D445">
        <v>919</v>
      </c>
      <c r="E445" s="2" t="str">
        <f>VLOOKUP( T_Aop[[#This Row],[Id]], T_Aop[], ID_Jezik +10, 1)</f>
        <v>19</v>
      </c>
      <c r="F445" t="str">
        <f>REPT( "  ", T_Aop[[#This Row],[Aop nivo]]) &amp; VLOOKUP( T_Aop[[#This Row],[Id]], T_Aop[], ID_Jezik + 6, 1)</f>
        <v xml:space="preserve">  19. Total profit/(loss)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3">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3">
      <c r="A447">
        <f t="shared" si="6"/>
        <v>446</v>
      </c>
      <c r="B447" t="s">
        <v>135</v>
      </c>
      <c r="C447" s="3">
        <v>2</v>
      </c>
      <c r="D447">
        <v>920</v>
      </c>
      <c r="E447" s="2" t="str">
        <f>VLOOKUP( T_Aop[[#This Row],[Id]], T_Aop[], ID_Jezik +10, 1)</f>
        <v>20</v>
      </c>
      <c r="F447" t="str">
        <f>REPT( "  ", T_Aop[[#This Row],[Aop nivo]]) &amp; VLOOKUP( T_Aop[[#This Row],[Id]], T_Aop[], ID_Jezik + 6, 1)</f>
        <v xml:space="preserve">    20. New issuance of the shareholders equity and other increases in capital</v>
      </c>
      <c r="G447" s="56" t="s">
        <v>1611</v>
      </c>
      <c r="H447" s="56" t="s">
        <v>1640</v>
      </c>
      <c r="I447" s="307" t="s">
        <v>2497</v>
      </c>
      <c r="J447" s="282" t="s">
        <v>2451</v>
      </c>
      <c r="K447" s="292" t="s">
        <v>1620</v>
      </c>
      <c r="L447" s="292" t="s">
        <v>1620</v>
      </c>
      <c r="M447" s="292" t="s">
        <v>1620</v>
      </c>
      <c r="N447" s="292" t="s">
        <v>1620</v>
      </c>
      <c r="O447" s="10"/>
      <c r="P447" s="10"/>
    </row>
    <row r="448" spans="1:16" x14ac:dyDescent="0.3">
      <c r="A448">
        <f t="shared" si="6"/>
        <v>447</v>
      </c>
      <c r="B448" t="s">
        <v>135</v>
      </c>
      <c r="C448" s="3">
        <v>2</v>
      </c>
      <c r="D448">
        <v>921</v>
      </c>
      <c r="E448" s="2" t="str">
        <f>VLOOKUP( T_Aop[[#This Row],[Id]], T_Aop[], ID_Jezik +10, 1)</f>
        <v>21</v>
      </c>
      <c r="F448" t="str">
        <f>REPT( "  ", T_Aop[[#This Row],[Aop nivo]]) &amp; VLOOKUP( T_Aop[[#This Row],[Id]], T_Aop[], ID_Jezik + 6, 1)</f>
        <v xml:space="preserve">    21. Acquisition of own shares and other decreases in capital</v>
      </c>
      <c r="G448" s="56" t="s">
        <v>1612</v>
      </c>
      <c r="H448" s="56" t="s">
        <v>1641</v>
      </c>
      <c r="I448" s="308" t="s">
        <v>2498</v>
      </c>
      <c r="J448" s="282" t="s">
        <v>2452</v>
      </c>
      <c r="K448" s="292" t="s">
        <v>1621</v>
      </c>
      <c r="L448" s="292" t="s">
        <v>1621</v>
      </c>
      <c r="M448" s="292" t="s">
        <v>1621</v>
      </c>
      <c r="N448" s="292" t="s">
        <v>1621</v>
      </c>
      <c r="O448" s="10"/>
      <c r="P448" s="10"/>
    </row>
    <row r="449" spans="1:16" x14ac:dyDescent="0.3">
      <c r="A449">
        <f t="shared" si="6"/>
        <v>448</v>
      </c>
      <c r="B449" t="s">
        <v>135</v>
      </c>
      <c r="C449" s="3">
        <v>2</v>
      </c>
      <c r="D449">
        <v>922</v>
      </c>
      <c r="E449" s="2" t="str">
        <f>VLOOKUP( T_Aop[[#This Row],[Id]], T_Aop[], ID_Jezik +10, 1)</f>
        <v>22</v>
      </c>
      <c r="F449" t="str">
        <f>REPT( "  ", T_Aop[[#This Row],[Aop nivo]]) &amp; VLOOKUP( T_Aop[[#This Row],[Id]], T_Aop[], ID_Jezik + 6, 1)</f>
        <v xml:space="preserve">    22. Declared dividends</v>
      </c>
      <c r="G449" s="56" t="s">
        <v>1613</v>
      </c>
      <c r="H449" s="56" t="s">
        <v>1642</v>
      </c>
      <c r="I449" s="308" t="s">
        <v>2499</v>
      </c>
      <c r="J449" s="282" t="s">
        <v>2453</v>
      </c>
      <c r="K449" s="292" t="s">
        <v>1622</v>
      </c>
      <c r="L449" s="292" t="s">
        <v>1622</v>
      </c>
      <c r="M449" s="292" t="s">
        <v>1622</v>
      </c>
      <c r="N449" s="292" t="s">
        <v>1622</v>
      </c>
      <c r="O449" s="10"/>
      <c r="P449" s="10"/>
    </row>
    <row r="450" spans="1:16" x14ac:dyDescent="0.3">
      <c r="A450">
        <f t="shared" si="6"/>
        <v>449</v>
      </c>
      <c r="B450" t="s">
        <v>135</v>
      </c>
      <c r="C450" s="3">
        <v>2</v>
      </c>
      <c r="D450">
        <v>923</v>
      </c>
      <c r="E450" s="2" t="str">
        <f>VLOOKUP( T_Aop[[#This Row],[Id]], T_Aop[], ID_Jezik +10, 1)</f>
        <v>23</v>
      </c>
      <c r="F450" t="str">
        <f>REPT( "  ", T_Aop[[#This Row],[Aop nivo]]) &amp; VLOOKUP( T_Aop[[#This Row],[Id]], T_Aop[], ID_Jezik + 6, 1)</f>
        <v xml:space="preserve">    23. Other distributions of the net income and covering the loss</v>
      </c>
      <c r="G450" s="56" t="s">
        <v>1614</v>
      </c>
      <c r="H450" s="56" t="s">
        <v>1643</v>
      </c>
      <c r="I450" s="308" t="s">
        <v>2500</v>
      </c>
      <c r="J450" s="282" t="s">
        <v>2454</v>
      </c>
      <c r="K450" s="292" t="s">
        <v>1623</v>
      </c>
      <c r="L450" s="292" t="s">
        <v>1623</v>
      </c>
      <c r="M450" s="292" t="s">
        <v>1623</v>
      </c>
      <c r="N450" s="292" t="s">
        <v>1623</v>
      </c>
      <c r="O450" s="10"/>
      <c r="P450" s="10"/>
    </row>
    <row r="451" spans="1:16" x14ac:dyDescent="0.3">
      <c r="A451">
        <f t="shared" si="6"/>
        <v>450</v>
      </c>
      <c r="B451" t="s">
        <v>135</v>
      </c>
      <c r="C451" s="3">
        <v>2</v>
      </c>
      <c r="D451">
        <v>924</v>
      </c>
      <c r="E451" s="2" t="str">
        <f>VLOOKUP( T_Aop[[#This Row],[Id]], T_Aop[], ID_Jezik +10, 1)</f>
        <v>24</v>
      </c>
      <c r="F451" t="str">
        <f>REPT( "  ", T_Aop[[#This Row],[Aop nivo]]) &amp; VLOOKUP( T_Aop[[#This Row],[Id]], T_Aop[], ID_Jezik + 6, 1)</f>
        <v xml:space="preserve">    24. Other changes</v>
      </c>
      <c r="G451" s="56" t="s">
        <v>1615</v>
      </c>
      <c r="H451" s="56" t="s">
        <v>1644</v>
      </c>
      <c r="I451" s="308" t="s">
        <v>2502</v>
      </c>
      <c r="J451" s="282" t="s">
        <v>2455</v>
      </c>
      <c r="K451" s="292" t="s">
        <v>1624</v>
      </c>
      <c r="L451" s="292" t="s">
        <v>1624</v>
      </c>
      <c r="M451" s="292" t="s">
        <v>1624</v>
      </c>
      <c r="N451" s="292" t="s">
        <v>1624</v>
      </c>
      <c r="O451" s="10"/>
      <c r="P451" s="10"/>
    </row>
    <row r="452" spans="1:16" x14ac:dyDescent="0.3">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3">
      <c r="A453">
        <f t="shared" si="6"/>
        <v>452</v>
      </c>
      <c r="B453" t="s">
        <v>135</v>
      </c>
      <c r="C453" s="3">
        <v>0</v>
      </c>
      <c r="D453">
        <v>925</v>
      </c>
      <c r="E453" s="2" t="str">
        <f>VLOOKUP( T_Aop[[#This Row],[Id]], T_Aop[], ID_Jezik +10, 1)</f>
        <v>25</v>
      </c>
      <c r="F453" t="str">
        <f>REPT( "  ", T_Aop[[#This Row],[Aop nivo]]) &amp; VLOOKUP( T_Aop[[#This Row],[Id]], T_Aop[], ID_Jezik + 6, 1)</f>
        <v>25. Value on day 31.12.2022(916 ± 919 ± 920  - 921 - 922± 923 ± 924)</v>
      </c>
      <c r="G453" s="306" t="str">
        <f>CONCATENATE("25. Stanje na dan ",Datum_Format," godine (916 ± 919 ± 920  - 921 - 922± 923 ± 924)")</f>
        <v>25. Stanje na dan 31.12.2022. godine (916 ± 919 ± 920  - 921 - 922± 923 ± 924)</v>
      </c>
      <c r="H453" s="306" t="str">
        <f>CONCATENATE("25. Стање на дан ",Datum_Format," године (916 ± 919 ± 920  - 921 - 922± 923 ± 924)")</f>
        <v>25. Стање на дан 31.12.2022. године (916 ± 919 ± 920  - 921 - 922± 923 ± 924)</v>
      </c>
      <c r="I453" s="306" t="str">
        <f>CONCATENATE("25. Value on day ",  Podesavanja!$Y$3,"(916 ± 919 ± 920  - 921 - 922± 923 ± 924)")</f>
        <v>25. Value on day 31.12.2022(916 ± 919 ± 920  - 921 - 922± 923 ± 924)</v>
      </c>
      <c r="J453" s="306" t="str">
        <f>CONCATENATE("25. Состояние на дату ",  ,Datum_Format," года (916 ± 919 ± 920  - 921 - 922± 923 ± 924)")</f>
        <v>25. Состояние на дату 31.12.2022.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8" priority="36" stopIfTrue="1">
      <formula>$B2&lt;&gt;$B3</formula>
    </cfRule>
  </conditionalFormatting>
  <conditionalFormatting sqref="H365:H368 H371:H378 J365:J368 J371:J378 H382:H383 J382:J383">
    <cfRule type="expression" dxfId="217" priority="102" stopIfTrue="1">
      <formula>$B363&lt;&gt;$B364</formula>
    </cfRule>
  </conditionalFormatting>
  <conditionalFormatting sqref="H399">
    <cfRule type="expression" dxfId="216" priority="104" stopIfTrue="1">
      <formula>$B399&lt;&gt;$B400</formula>
    </cfRule>
  </conditionalFormatting>
  <conditionalFormatting sqref="H379 J379 H387:H397 J387:J397">
    <cfRule type="expression" dxfId="215"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4"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3" priority="112" stopIfTrue="1">
      <formula>$B137&lt;&gt;$B140</formula>
    </cfRule>
  </conditionalFormatting>
  <conditionalFormatting sqref="I134:J135">
    <cfRule type="expression" dxfId="212" priority="114" stopIfTrue="1">
      <formula>$B135&lt;&gt;$B140</formula>
    </cfRule>
  </conditionalFormatting>
  <conditionalFormatting sqref="O259:P259">
    <cfRule type="expression" dxfId="211" priority="116" stopIfTrue="1">
      <formula>$B259&lt;&gt;$B265</formula>
    </cfRule>
  </conditionalFormatting>
  <conditionalFormatting sqref="D78:D132 I138:J138 I69:J132 I241:I244 I213:I239 N55:N65 D137 K70:N139">
    <cfRule type="expression" dxfId="210" priority="121" stopIfTrue="1">
      <formula>$B56&lt;&gt;$B57</formula>
    </cfRule>
  </conditionalFormatting>
  <conditionalFormatting sqref="I137:J137 D134:D136">
    <cfRule type="expression" dxfId="209" priority="125" stopIfTrue="1">
      <formula>$B135&lt;&gt;$B137</formula>
    </cfRule>
  </conditionalFormatting>
  <conditionalFormatting sqref="I136:J136">
    <cfRule type="expression" dxfId="208" priority="127" stopIfTrue="1">
      <formula>$B137&lt;&gt;$B140</formula>
    </cfRule>
  </conditionalFormatting>
  <conditionalFormatting sqref="I245:I246">
    <cfRule type="expression" dxfId="207" priority="129" stopIfTrue="1">
      <formula>$B246&lt;&gt;$B250</formula>
    </cfRule>
  </conditionalFormatting>
  <conditionalFormatting sqref="A134 E134:F134 O134:P134 A136 A138">
    <cfRule type="expression" dxfId="206" priority="142" stopIfTrue="1">
      <formula>$B134&lt;&gt;#REF!</formula>
    </cfRule>
  </conditionalFormatting>
  <conditionalFormatting sqref="O260:P260 O135:P136">
    <cfRule type="expression" dxfId="205" priority="143" stopIfTrue="1">
      <formula>$B135&lt;&gt;$B140</formula>
    </cfRule>
  </conditionalFormatting>
  <conditionalFormatting sqref="B139:C139">
    <cfRule type="expression" dxfId="204" priority="148" stopIfTrue="1">
      <formula>$B139&lt;&gt;#REF!</formula>
    </cfRule>
  </conditionalFormatting>
  <conditionalFormatting sqref="I139:J139 D139">
    <cfRule type="expression" dxfId="203" priority="156" stopIfTrue="1">
      <formula>#REF!&lt;&gt;$B140</formula>
    </cfRule>
  </conditionalFormatting>
  <conditionalFormatting sqref="I133:J133 D133">
    <cfRule type="expression" dxfId="202" priority="161" stopIfTrue="1">
      <formula>$B134&lt;&gt;#REF!</formula>
    </cfRule>
  </conditionalFormatting>
  <conditionalFormatting sqref="G246:G248 K252 G260 G262:G263 G250:G258 K262 O261:P261 L250:N262 J246:P248 J250:J262">
    <cfRule type="expression" dxfId="201" priority="164" stopIfTrue="1">
      <formula>$B246&lt;&gt;$B250</formula>
    </cfRule>
  </conditionalFormatting>
  <conditionalFormatting sqref="O252:P254">
    <cfRule type="expression" dxfId="200" priority="262" stopIfTrue="1">
      <formula>$B252&lt;&gt;$B263</formula>
    </cfRule>
  </conditionalFormatting>
  <conditionalFormatting sqref="G249 K253 K261 K255 K257 K259 G259 G261 J249:P249">
    <cfRule type="expression" dxfId="199" priority="26" stopIfTrue="1">
      <formula>$B249&lt;&gt;$B263</formula>
    </cfRule>
  </conditionalFormatting>
  <conditionalFormatting sqref="F251:F252">
    <cfRule type="expression" dxfId="198" priority="364" stopIfTrue="1">
      <formula>#REF!&lt;&gt;$B243</formula>
    </cfRule>
  </conditionalFormatting>
  <conditionalFormatting sqref="F248">
    <cfRule type="expression" dxfId="197" priority="365" stopIfTrue="1">
      <formula>#REF!&lt;&gt;$B243</formula>
    </cfRule>
  </conditionalFormatting>
  <conditionalFormatting sqref="F249">
    <cfRule type="expression" dxfId="196" priority="366" stopIfTrue="1">
      <formula>#REF!&lt;&gt;$B243</formula>
    </cfRule>
  </conditionalFormatting>
  <conditionalFormatting sqref="F250">
    <cfRule type="expression" dxfId="195" priority="368" stopIfTrue="1">
      <formula>#REF!&lt;&gt;$B243</formula>
    </cfRule>
  </conditionalFormatting>
  <conditionalFormatting sqref="F247">
    <cfRule type="expression" dxfId="194" priority="374" stopIfTrue="1">
      <formula>#REF!&lt;&gt;$B243</formula>
    </cfRule>
  </conditionalFormatting>
  <conditionalFormatting sqref="F242:F246">
    <cfRule type="expression" dxfId="193" priority="391" stopIfTrue="1">
      <formula>#REF!&lt;&gt;$B243</formula>
    </cfRule>
  </conditionalFormatting>
  <conditionalFormatting sqref="F294:F311">
    <cfRule type="expression" dxfId="192" priority="890" stopIfTrue="1">
      <formula>#REF!&lt;&gt;$B244</formula>
    </cfRule>
  </conditionalFormatting>
  <conditionalFormatting sqref="F293">
    <cfRule type="expression" dxfId="191" priority="936" stopIfTrue="1">
      <formula>#REF!&lt;&gt;$B244</formula>
    </cfRule>
  </conditionalFormatting>
  <conditionalFormatting sqref="F292">
    <cfRule type="expression" dxfId="190" priority="980" stopIfTrue="1">
      <formula>#REF!&lt;&gt;$B244</formula>
    </cfRule>
  </conditionalFormatting>
  <conditionalFormatting sqref="F253:F257">
    <cfRule type="expression" dxfId="189" priority="1026" stopIfTrue="1">
      <formula>#REF!&lt;&gt;$B244</formula>
    </cfRule>
  </conditionalFormatting>
  <conditionalFormatting sqref="H252">
    <cfRule type="expression" dxfId="188" priority="1059" stopIfTrue="1">
      <formula>$B252&lt;&gt;$B253</formula>
    </cfRule>
  </conditionalFormatting>
  <conditionalFormatting sqref="F266:F273">
    <cfRule type="expression" dxfId="187" priority="1195" stopIfTrue="1">
      <formula>#REF!&lt;&gt;$B245</formula>
    </cfRule>
  </conditionalFormatting>
  <conditionalFormatting sqref="F262:F265">
    <cfRule type="expression" dxfId="186" priority="1241" stopIfTrue="1">
      <formula>#REF!&lt;&gt;$B245</formula>
    </cfRule>
  </conditionalFormatting>
  <conditionalFormatting sqref="F258:F261">
    <cfRule type="expression" dxfId="185" priority="1297" stopIfTrue="1">
      <formula>#REF!&lt;&gt;$B245</formula>
    </cfRule>
  </conditionalFormatting>
  <conditionalFormatting sqref="O257:P258">
    <cfRule type="expression" dxfId="184" priority="1547" stopIfTrue="1">
      <formula>$B257&lt;&gt;$B264</formula>
    </cfRule>
  </conditionalFormatting>
  <conditionalFormatting sqref="O255:P256">
    <cfRule type="expression" dxfId="183" priority="1548" stopIfTrue="1">
      <formula>$B255&lt;&gt;$B264</formula>
    </cfRule>
  </conditionalFormatting>
  <conditionalFormatting sqref="F290:F291">
    <cfRule type="expression" dxfId="182" priority="1578" stopIfTrue="1">
      <formula>#REF!&lt;&gt;$B247</formula>
    </cfRule>
  </conditionalFormatting>
  <conditionalFormatting sqref="F274:F280">
    <cfRule type="expression" dxfId="181" priority="1633" stopIfTrue="1">
      <formula>#REF!&lt;&gt;$B247</formula>
    </cfRule>
  </conditionalFormatting>
  <conditionalFormatting sqref="F287:F289">
    <cfRule type="expression" dxfId="180" priority="1744" stopIfTrue="1">
      <formula>#REF!&lt;&gt;$B250</formula>
    </cfRule>
  </conditionalFormatting>
  <conditionalFormatting sqref="F352">
    <cfRule type="expression" dxfId="179" priority="1949" stopIfTrue="1">
      <formula>#REF!&lt;&gt;$B245</formula>
    </cfRule>
  </conditionalFormatting>
  <conditionalFormatting sqref="F351">
    <cfRule type="expression" dxfId="178" priority="1979" stopIfTrue="1">
      <formula>#REF!&lt;&gt;$B245</formula>
    </cfRule>
  </conditionalFormatting>
  <conditionalFormatting sqref="F350">
    <cfRule type="expression" dxfId="177" priority="2013" stopIfTrue="1">
      <formula>#REF!&lt;&gt;$B245</formula>
    </cfRule>
  </conditionalFormatting>
  <conditionalFormatting sqref="F349">
    <cfRule type="expression" dxfId="176" priority="2039" stopIfTrue="1">
      <formula>#REF!&lt;&gt;$B245</formula>
    </cfRule>
  </conditionalFormatting>
  <conditionalFormatting sqref="F348">
    <cfRule type="expression" dxfId="175" priority="2069" stopIfTrue="1">
      <formula>#REF!&lt;&gt;$B245</formula>
    </cfRule>
  </conditionalFormatting>
  <conditionalFormatting sqref="F347">
    <cfRule type="expression" dxfId="174" priority="2103" stopIfTrue="1">
      <formula>#REF!&lt;&gt;$B245</formula>
    </cfRule>
  </conditionalFormatting>
  <conditionalFormatting sqref="F346">
    <cfRule type="expression" dxfId="173" priority="2129" stopIfTrue="1">
      <formula>#REF!&lt;&gt;$B245</formula>
    </cfRule>
  </conditionalFormatting>
  <conditionalFormatting sqref="F345">
    <cfRule type="expression" dxfId="172" priority="2159" stopIfTrue="1">
      <formula>#REF!&lt;&gt;$B245</formula>
    </cfRule>
  </conditionalFormatting>
  <conditionalFormatting sqref="F344">
    <cfRule type="expression" dxfId="171" priority="2189" stopIfTrue="1">
      <formula>#REF!&lt;&gt;$B245</formula>
    </cfRule>
  </conditionalFormatting>
  <conditionalFormatting sqref="F343">
    <cfRule type="expression" dxfId="170" priority="2219" stopIfTrue="1">
      <formula>#REF!&lt;&gt;$B245</formula>
    </cfRule>
  </conditionalFormatting>
  <conditionalFormatting sqref="F342">
    <cfRule type="expression" dxfId="169" priority="2249" stopIfTrue="1">
      <formula>#REF!&lt;&gt;$B245</formula>
    </cfRule>
  </conditionalFormatting>
  <conditionalFormatting sqref="F312:F337">
    <cfRule type="expression" dxfId="168" priority="2279" stopIfTrue="1">
      <formula>#REF!&lt;&gt;$B245</formula>
    </cfRule>
  </conditionalFormatting>
  <conditionalFormatting sqref="G350 I350:K350 M350:P350">
    <cfRule type="expression" dxfId="167" priority="2322" stopIfTrue="1">
      <formula>$B350&lt;&gt;$B296</formula>
    </cfRule>
  </conditionalFormatting>
  <conditionalFormatting sqref="G347 I347:K347 M347:P347">
    <cfRule type="expression" dxfId="166" priority="2324" stopIfTrue="1">
      <formula>$B347&lt;&gt;$B296</formula>
    </cfRule>
  </conditionalFormatting>
  <conditionalFormatting sqref="G352 I352:K352 M352:P352">
    <cfRule type="expression" dxfId="165" priority="2335" stopIfTrue="1">
      <formula>$B352&lt;&gt;$B296</formula>
    </cfRule>
  </conditionalFormatting>
  <conditionalFormatting sqref="G351 I351:K351 M351:P351">
    <cfRule type="expression" dxfId="164" priority="2343" stopIfTrue="1">
      <formula>$B351&lt;&gt;$B296</formula>
    </cfRule>
  </conditionalFormatting>
  <conditionalFormatting sqref="G349 I349:K349 M349:P349">
    <cfRule type="expression" dxfId="163" priority="2345" stopIfTrue="1">
      <formula>$B349&lt;&gt;$B296</formula>
    </cfRule>
  </conditionalFormatting>
  <conditionalFormatting sqref="G348 I348:K348 M348:P348">
    <cfRule type="expression" dxfId="162" priority="2347" stopIfTrue="1">
      <formula>$B348&lt;&gt;$B296</formula>
    </cfRule>
  </conditionalFormatting>
  <conditionalFormatting sqref="G346 I346:K346 M346:P346">
    <cfRule type="expression" dxfId="161" priority="2349" stopIfTrue="1">
      <formula>$B346&lt;&gt;$B296</formula>
    </cfRule>
  </conditionalFormatting>
  <conditionalFormatting sqref="G345 I345:K345 M345:P345">
    <cfRule type="expression" dxfId="160" priority="2351" stopIfTrue="1">
      <formula>$B345&lt;&gt;$B296</formula>
    </cfRule>
  </conditionalFormatting>
  <conditionalFormatting sqref="G344 I344:K344 M344:P344">
    <cfRule type="expression" dxfId="159" priority="2353" stopIfTrue="1">
      <formula>$B344&lt;&gt;$B296</formula>
    </cfRule>
  </conditionalFormatting>
  <conditionalFormatting sqref="G343 I343:K343 M343:P343">
    <cfRule type="expression" dxfId="158" priority="2355" stopIfTrue="1">
      <formula>$B343&lt;&gt;$B296</formula>
    </cfRule>
  </conditionalFormatting>
  <conditionalFormatting sqref="G342 I342:K342 M342:P342">
    <cfRule type="expression" dxfId="157" priority="2357" stopIfTrue="1">
      <formula>$B342&lt;&gt;$B296</formula>
    </cfRule>
  </conditionalFormatting>
  <conditionalFormatting sqref="G315:G337 I315:K337 M315:P337">
    <cfRule type="expression" dxfId="156" priority="2359" stopIfTrue="1">
      <formula>$B315&lt;&gt;$B299</formula>
    </cfRule>
  </conditionalFormatting>
  <conditionalFormatting sqref="A274:A286 E274:E286">
    <cfRule type="expression" dxfId="155" priority="2416" stopIfTrue="1">
      <formula>#REF!&lt;&gt;#REF!</formula>
    </cfRule>
  </conditionalFormatting>
  <conditionalFormatting sqref="A312:A341 E312:E341">
    <cfRule type="expression" dxfId="154" priority="2420" stopIfTrue="1">
      <formula>#REF!&lt;&gt;#REF!</formula>
    </cfRule>
  </conditionalFormatting>
  <conditionalFormatting sqref="A294:A311 E294:E311">
    <cfRule type="expression" dxfId="153" priority="2424" stopIfTrue="1">
      <formula>#REF!&lt;&gt;#REF!</formula>
    </cfRule>
  </conditionalFormatting>
  <conditionalFormatting sqref="A250 E250">
    <cfRule type="expression" dxfId="152" priority="2433" stopIfTrue="1">
      <formula>#REF!&lt;&gt;#REF!</formula>
    </cfRule>
  </conditionalFormatting>
  <conditionalFormatting sqref="A249 E249">
    <cfRule type="expression" dxfId="151" priority="2435" stopIfTrue="1">
      <formula>#REF!&lt;&gt;#REF!</formula>
    </cfRule>
  </conditionalFormatting>
  <conditionalFormatting sqref="A248 E248">
    <cfRule type="expression" dxfId="150" priority="2437" stopIfTrue="1">
      <formula>#REF!&lt;&gt;#REF!</formula>
    </cfRule>
  </conditionalFormatting>
  <conditionalFormatting sqref="A247 E247">
    <cfRule type="expression" dxfId="149" priority="2439" stopIfTrue="1">
      <formula>#REF!&lt;&gt;#REF!</formula>
    </cfRule>
  </conditionalFormatting>
  <conditionalFormatting sqref="A242:A246 E242:E246">
    <cfRule type="expression" dxfId="148" priority="2441" stopIfTrue="1">
      <formula>#REF!&lt;&gt;#REF!</formula>
    </cfRule>
  </conditionalFormatting>
  <conditionalFormatting sqref="A293 E293">
    <cfRule type="expression" dxfId="147" priority="2445" stopIfTrue="1">
      <formula>#REF!&lt;&gt;#REF!</formula>
    </cfRule>
  </conditionalFormatting>
  <conditionalFormatting sqref="A292 E292">
    <cfRule type="expression" dxfId="146" priority="2447" stopIfTrue="1">
      <formula>#REF!&lt;&gt;#REF!</formula>
    </cfRule>
  </conditionalFormatting>
  <conditionalFormatting sqref="A290:A291 E290:E291">
    <cfRule type="expression" dxfId="145" priority="2449" stopIfTrue="1">
      <formula>#REF!&lt;&gt;#REF!</formula>
    </cfRule>
  </conditionalFormatting>
  <conditionalFormatting sqref="A251:A252 E251:E252">
    <cfRule type="expression" dxfId="144" priority="2451" stopIfTrue="1">
      <formula>#REF!&lt;&gt;#REF!</formula>
    </cfRule>
  </conditionalFormatting>
  <conditionalFormatting sqref="A262:A265 E262 E264:E265">
    <cfRule type="expression" dxfId="143" priority="2453" stopIfTrue="1">
      <formula>#REF!&lt;&gt;#REF!</formula>
    </cfRule>
  </conditionalFormatting>
  <conditionalFormatting sqref="A258:A261 E258:E261">
    <cfRule type="expression" dxfId="142" priority="2455" stopIfTrue="1">
      <formula>#REF!&lt;&gt;#REF!</formula>
    </cfRule>
  </conditionalFormatting>
  <conditionalFormatting sqref="A253:A257 E253:E257">
    <cfRule type="expression" dxfId="141" priority="2457" stopIfTrue="1">
      <formula>#REF!&lt;&gt;#REF!</formula>
    </cfRule>
  </conditionalFormatting>
  <conditionalFormatting sqref="A287:A289 E287:E289">
    <cfRule type="expression" dxfId="140" priority="2459" stopIfTrue="1">
      <formula>#REF!&lt;&gt;#REF!</formula>
    </cfRule>
  </conditionalFormatting>
  <conditionalFormatting sqref="A266:A273 E266:E273">
    <cfRule type="expression" dxfId="139" priority="2461" stopIfTrue="1">
      <formula>#REF!&lt;&gt;#REF!</formula>
    </cfRule>
  </conditionalFormatting>
  <conditionalFormatting sqref="A352 E352">
    <cfRule type="expression" dxfId="138" priority="2475" stopIfTrue="1">
      <formula>#REF!&lt;&gt;#REF!</formula>
    </cfRule>
  </conditionalFormatting>
  <conditionalFormatting sqref="A351 E351">
    <cfRule type="expression" dxfId="137" priority="2477" stopIfTrue="1">
      <formula>#REF!&lt;&gt;#REF!</formula>
    </cfRule>
  </conditionalFormatting>
  <conditionalFormatting sqref="A350 E350">
    <cfRule type="expression" dxfId="136" priority="2479" stopIfTrue="1">
      <formula>#REF!&lt;&gt;#REF!</formula>
    </cfRule>
  </conditionalFormatting>
  <conditionalFormatting sqref="A349 E349">
    <cfRule type="expression" dxfId="135" priority="2481" stopIfTrue="1">
      <formula>#REF!&lt;&gt;#REF!</formula>
    </cfRule>
  </conditionalFormatting>
  <conditionalFormatting sqref="A348 E348">
    <cfRule type="expression" dxfId="134" priority="2483" stopIfTrue="1">
      <formula>#REF!&lt;&gt;#REF!</formula>
    </cfRule>
  </conditionalFormatting>
  <conditionalFormatting sqref="A347 E347">
    <cfRule type="expression" dxfId="133" priority="2485" stopIfTrue="1">
      <formula>#REF!&lt;&gt;#REF!</formula>
    </cfRule>
  </conditionalFormatting>
  <conditionalFormatting sqref="A346 E346">
    <cfRule type="expression" dxfId="132" priority="2487" stopIfTrue="1">
      <formula>#REF!&lt;&gt;#REF!</formula>
    </cfRule>
  </conditionalFormatting>
  <conditionalFormatting sqref="A345 E345">
    <cfRule type="expression" dxfId="131" priority="2489" stopIfTrue="1">
      <formula>#REF!&lt;&gt;#REF!</formula>
    </cfRule>
  </conditionalFormatting>
  <conditionalFormatting sqref="A344 E344">
    <cfRule type="expression" dxfId="130" priority="2491" stopIfTrue="1">
      <formula>#REF!&lt;&gt;#REF!</formula>
    </cfRule>
  </conditionalFormatting>
  <conditionalFormatting sqref="A343 E343">
    <cfRule type="expression" dxfId="129" priority="2493" stopIfTrue="1">
      <formula>#REF!&lt;&gt;#REF!</formula>
    </cfRule>
  </conditionalFormatting>
  <conditionalFormatting sqref="A342 E342">
    <cfRule type="expression" dxfId="128" priority="2495" stopIfTrue="1">
      <formula>#REF!&lt;&gt;#REF!</formula>
    </cfRule>
  </conditionalFormatting>
  <conditionalFormatting sqref="G241 A241:C241 E241 J241 O241:P241">
    <cfRule type="expression" dxfId="127"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6" priority="2502" stopIfTrue="1">
      <formula>$B314&lt;&gt;#REF!</formula>
    </cfRule>
  </conditionalFormatting>
  <conditionalFormatting sqref="F281:F286">
    <cfRule type="expression" dxfId="125" priority="2510" stopIfTrue="1">
      <formula>#REF!&lt;&gt;$B253</formula>
    </cfRule>
  </conditionalFormatting>
  <conditionalFormatting sqref="E263">
    <cfRule type="expression" dxfId="124" priority="21" stopIfTrue="1">
      <formula>$B263&lt;&gt;$B264</formula>
    </cfRule>
  </conditionalFormatting>
  <conditionalFormatting sqref="F338:F341">
    <cfRule type="expression" dxfId="123" priority="2515" stopIfTrue="1">
      <formula>#REF!&lt;&gt;$B258</formula>
    </cfRule>
  </conditionalFormatting>
  <conditionalFormatting sqref="G338:G341 I338:K341 M338:P341">
    <cfRule type="expression" dxfId="122" priority="2517" stopIfTrue="1">
      <formula>$B338&lt;&gt;$B309</formula>
    </cfRule>
  </conditionalFormatting>
  <conditionalFormatting sqref="G445:J445">
    <cfRule type="expression" dxfId="121" priority="20" stopIfTrue="1">
      <formula>$B445&lt;&gt;$B447</formula>
    </cfRule>
  </conditionalFormatting>
  <conditionalFormatting sqref="I437:J437">
    <cfRule type="expression" dxfId="120" priority="2582" stopIfTrue="1">
      <formula>$B435&lt;&gt;$B437</formula>
    </cfRule>
  </conditionalFormatting>
  <conditionalFormatting sqref="I247">
    <cfRule type="expression" dxfId="119" priority="2593" stopIfTrue="1">
      <formula>$B249&lt;&gt;$B263</formula>
    </cfRule>
  </conditionalFormatting>
  <conditionalFormatting sqref="I240">
    <cfRule type="expression" dxfId="118" priority="2595" stopIfTrue="1">
      <formula>$B241&lt;&gt;#REF!</formula>
    </cfRule>
  </conditionalFormatting>
  <conditionalFormatting sqref="J447 J439">
    <cfRule type="expression" dxfId="117" priority="2597" stopIfTrue="1">
      <formula>$B438&lt;&gt;$B441</formula>
    </cfRule>
  </conditionalFormatting>
  <conditionalFormatting sqref="J442:J443 J431 J427 J423">
    <cfRule type="expression" dxfId="116" priority="2599" stopIfTrue="1">
      <formula>$B422&lt;&gt;$B424</formula>
    </cfRule>
  </conditionalFormatting>
  <conditionalFormatting sqref="J421">
    <cfRule type="expression" dxfId="115" priority="18" stopIfTrue="1">
      <formula>$B420&lt;&gt;$B422</formula>
    </cfRule>
  </conditionalFormatting>
  <conditionalFormatting sqref="J425">
    <cfRule type="expression" dxfId="114" priority="17" stopIfTrue="1">
      <formula>$B424&lt;&gt;$B426</formula>
    </cfRule>
  </conditionalFormatting>
  <conditionalFormatting sqref="J424">
    <cfRule type="expression" dxfId="113" priority="2601" stopIfTrue="1">
      <formula>$B423&lt;&gt;$B424</formula>
    </cfRule>
  </conditionalFormatting>
  <conditionalFormatting sqref="D2:D77">
    <cfRule type="expression" dxfId="112" priority="16">
      <formula>$B3&lt;&gt;$B2</formula>
    </cfRule>
  </conditionalFormatting>
  <conditionalFormatting sqref="J399">
    <cfRule type="expression" dxfId="111" priority="13" stopIfTrue="1">
      <formula>$B399&lt;&gt;$B400</formula>
    </cfRule>
  </conditionalFormatting>
  <conditionalFormatting sqref="N66">
    <cfRule type="expression" dxfId="110" priority="12" stopIfTrue="1">
      <formula>$B66&lt;&gt;$B67</formula>
    </cfRule>
  </conditionalFormatting>
  <conditionalFormatting sqref="I248:I260">
    <cfRule type="expression" dxfId="109" priority="2603" stopIfTrue="1">
      <formula>$B250&lt;&gt;$B254</formula>
    </cfRule>
  </conditionalFormatting>
  <conditionalFormatting sqref="I261">
    <cfRule type="expression" dxfId="108" priority="2604" stopIfTrue="1">
      <formula>$B263&lt;&gt;$B264</formula>
    </cfRule>
  </conditionalFormatting>
  <conditionalFormatting sqref="A453:P453">
    <cfRule type="expression" dxfId="107" priority="2605" stopIfTrue="1">
      <formula>$B453&lt;&gt;#REF!</formula>
    </cfRule>
  </conditionalFormatting>
  <conditionalFormatting sqref="A452:P452">
    <cfRule type="expression" dxfId="106" priority="2607" stopIfTrue="1">
      <formula>$B452&lt;&gt;#REF!</formula>
    </cfRule>
  </conditionalFormatting>
  <conditionalFormatting sqref="E136:F136">
    <cfRule type="expression" dxfId="105" priority="11" stopIfTrue="1">
      <formula>$B136&lt;&gt;$B137</formula>
    </cfRule>
  </conditionalFormatting>
  <conditionalFormatting sqref="E135:F135">
    <cfRule type="expression" dxfId="104" priority="10" stopIfTrue="1">
      <formula>$B135&lt;&gt;#REF!</formula>
    </cfRule>
  </conditionalFormatting>
  <conditionalFormatting sqref="E137:F138">
    <cfRule type="expression" dxfId="103" priority="8" stopIfTrue="1">
      <formula>$B137&lt;&gt;$B138</formula>
    </cfRule>
  </conditionalFormatting>
  <conditionalFormatting sqref="K140:N245">
    <cfRule type="expression" dxfId="102" priority="5" stopIfTrue="1">
      <formula>$B141&lt;&gt;$B142</formula>
    </cfRule>
  </conditionalFormatting>
  <conditionalFormatting sqref="D138">
    <cfRule type="expression" dxfId="101" priority="2" stopIfTrue="1">
      <formula>$B138&lt;&gt;$B139</formula>
    </cfRule>
  </conditionalFormatting>
  <conditionalFormatting sqref="J380 H380">
    <cfRule type="expression" dxfId="100" priority="2633" stopIfTrue="1">
      <formula>$B376&lt;&gt;$B377</formula>
    </cfRule>
  </conditionalFormatting>
  <conditionalFormatting sqref="H381 J381">
    <cfRule type="expression" dxfId="99" priority="2649" stopIfTrue="1">
      <formula>$B377&lt;&gt;$B380</formula>
    </cfRule>
  </conditionalFormatting>
  <conditionalFormatting sqref="K368:P368 A368:G368 I383 K383:P383 A383:C383 E383:G383">
    <cfRule type="expression" dxfId="98" priority="2652" stopIfTrue="1">
      <formula>$B368&lt;&gt;#REF!</formula>
    </cfRule>
  </conditionalFormatting>
  <conditionalFormatting sqref="H369 J369 J384 H384">
    <cfRule type="expression" dxfId="97" priority="2663" stopIfTrue="1">
      <formula>#REF!&lt;&gt;#REF!</formula>
    </cfRule>
  </conditionalFormatting>
  <conditionalFormatting sqref="H370 J370">
    <cfRule type="expression" dxfId="96" priority="2665" stopIfTrue="1">
      <formula>#REF!&lt;&gt;$B369</formula>
    </cfRule>
  </conditionalFormatting>
  <conditionalFormatting sqref="D381">
    <cfRule type="expression" dxfId="95" priority="2688" stopIfTrue="1">
      <formula>$B381&lt;&gt;#REF!</formula>
    </cfRule>
  </conditionalFormatting>
  <conditionalFormatting sqref="H386 J386">
    <cfRule type="expression" dxfId="94" priority="2695" stopIfTrue="1">
      <formula>#REF!&lt;&gt;$B384</formula>
    </cfRule>
  </conditionalFormatting>
  <conditionalFormatting sqref="D383 D385 D387 D389 D392 D401 D394 D403 D396 D405 D398 D407 D409 D411 D413 D415 D417">
    <cfRule type="expression" dxfId="93" priority="2697" stopIfTrue="1">
      <formula>$B383&lt;&gt;#REF!</formula>
    </cfRule>
  </conditionalFormatting>
  <conditionalFormatting sqref="I363:I368">
    <cfRule type="expression" dxfId="92"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Zare</cp:lastModifiedBy>
  <cp:lastPrinted>2023-02-24T07:17:15Z</cp:lastPrinted>
  <dcterms:created xsi:type="dcterms:W3CDTF">2007-02-19T09:55:19Z</dcterms:created>
  <dcterms:modified xsi:type="dcterms:W3CDTF">2023-02-24T12:42:47Z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